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28" windowWidth="12120" windowHeight="9120" tabRatio="925" activeTab="0"/>
  </bookViews>
  <sheets>
    <sheet name="preventie-screening blanco-tool" sheetId="1" r:id="rId1"/>
    <sheet name="Preventiemaatregelen droogkuis" sheetId="2" r:id="rId2"/>
    <sheet name="Leeswijzer" sheetId="3" r:id="rId3"/>
    <sheet name="Proc1" sheetId="4" r:id="rId4"/>
    <sheet name="Proc2" sheetId="5" r:id="rId5"/>
    <sheet name="Proc3" sheetId="6" r:id="rId6"/>
    <sheet name="Proc4" sheetId="7" r:id="rId7"/>
    <sheet name="Proc5" sheetId="8" r:id="rId8"/>
    <sheet name="Proc6" sheetId="9" r:id="rId9"/>
    <sheet name="Proc7" sheetId="10" r:id="rId10"/>
    <sheet name="Plaa1" sheetId="11" r:id="rId11"/>
    <sheet name="Plaa2" sheetId="12" r:id="rId12"/>
    <sheet name="Plaa3" sheetId="13" r:id="rId13"/>
    <sheet name="Plaa4" sheetId="14" r:id="rId14"/>
    <sheet name="Alge1" sheetId="15" r:id="rId15"/>
    <sheet name="Alge2" sheetId="16" r:id="rId16"/>
    <sheet name="Alge3" sheetId="17" r:id="rId17"/>
    <sheet name="Alge4" sheetId="18" r:id="rId18"/>
    <sheet name="Alge5" sheetId="19" r:id="rId19"/>
    <sheet name="Groeperen" sheetId="20" r:id="rId20"/>
    <sheet name="Scoretabellen" sheetId="21" r:id="rId21"/>
    <sheet name="Weging risico" sheetId="22" r:id="rId22"/>
    <sheet name="Voorbeeld - aanwezige PM" sheetId="23" r:id="rId23"/>
    <sheet name="Voorbeeld - na nemen extra PM" sheetId="24" r:id="rId24"/>
  </sheets>
  <definedNames>
    <definedName name="_xlnm.Print_Area" localSheetId="14">'Alge1'!$A$1:$B$13</definedName>
    <definedName name="_xlnm.Print_Area" localSheetId="15">'Alge2'!$A$1:$B$11</definedName>
    <definedName name="_xlnm.Print_Area" localSheetId="16">'Alge3'!$A$1:$B$32</definedName>
    <definedName name="_xlnm.Print_Area" localSheetId="17">'Alge4'!$A$1:$B$13</definedName>
    <definedName name="_xlnm.Print_Area" localSheetId="18">'Alge5'!$A$1:$B$13</definedName>
    <definedName name="_xlnm.Print_Area" localSheetId="19">'Groeperen'!$A$5:$B$196</definedName>
    <definedName name="_xlnm.Print_Area" localSheetId="10">'Plaa1'!$A$1:$B$41</definedName>
    <definedName name="_xlnm.Print_Area" localSheetId="11">'Plaa2'!$A$1:$B$16</definedName>
    <definedName name="_xlnm.Print_Area" localSheetId="12">'Plaa3'!$A$1:$B$64</definedName>
    <definedName name="_xlnm.Print_Area" localSheetId="13">'Plaa4'!$A$1:$B$21</definedName>
    <definedName name="_xlnm.Print_Area" localSheetId="1">'Preventiemaatregelen droogkuis'!$A$1:$C$72</definedName>
    <definedName name="_xlnm.Print_Area" localSheetId="0">'preventie-screening blanco-tool'!$A$5:$I$206</definedName>
    <definedName name="_xlnm.Print_Area" localSheetId="3">'Proc1'!$A$1:$B$13</definedName>
    <definedName name="_xlnm.Print_Area" localSheetId="4">'Proc2'!$A$1:$B$13</definedName>
    <definedName name="_xlnm.Print_Area" localSheetId="5">'Proc3'!$A$1:$B$43</definedName>
    <definedName name="_xlnm.Print_Area" localSheetId="6">'Proc4'!$A$1:$B$9</definedName>
    <definedName name="_xlnm.Print_Area" localSheetId="7">'Proc5'!$A$1:$B$19</definedName>
    <definedName name="_xlnm.Print_Area" localSheetId="8">'Proc6'!$A$1:$B$11</definedName>
    <definedName name="_xlnm.Print_Area" localSheetId="9">'Proc7'!$A$1:$B$8</definedName>
    <definedName name="_xlnm.Print_Area" localSheetId="20">'Scoretabellen'!$A$1:$I$65</definedName>
    <definedName name="_xlnm.Print_Area" localSheetId="22">'Voorbeeld - aanwezige PM'!$A$5:$I$207</definedName>
    <definedName name="_xlnm.Print_Area" localSheetId="23">'Voorbeeld - na nemen extra PM'!$A$8:$I$202</definedName>
    <definedName name="_xlnm.Print_Titles" localSheetId="1">'Preventiemaatregelen droogkuis'!$1:$1</definedName>
    <definedName name="_xlnm.Print_Titles" localSheetId="0">'preventie-screening blanco-tool'!$5:$5</definedName>
    <definedName name="_xlnm.Print_Titles" localSheetId="22">'Voorbeeld - aanwezige PM'!$5:$6</definedName>
    <definedName name="_xlnm.Print_Titles" localSheetId="23">'Voorbeeld - na nemen extra PM'!$8:$9</definedName>
    <definedName name="_xlnm.Print_Titles" localSheetId="21">'Weging risico'!$2:$2</definedName>
  </definedNames>
  <calcPr fullCalcOnLoad="1"/>
</workbook>
</file>

<file path=xl/sharedStrings.xml><?xml version="1.0" encoding="utf-8"?>
<sst xmlns="http://schemas.openxmlformats.org/spreadsheetml/2006/main" count="3172" uniqueCount="546">
  <si>
    <t xml:space="preserve">De voorbehandeling van te reinigen textiel kan manueel (detacheerborstels, sponsen, ...) of mechanisch (lucht/stoompistool,…) gebeuren. Hierbij wordt gebruik gemaakt van ontvlekkingsmiddelen, zoals mengsels van diverse oplosmiddelen (vb: amylacetaat, isopropylalcohol, PER), licht-zure of alkalische middelen vb: azijnzuur, zouten van mieren- en melkzuur, en ammonia) of licht oxyderende middelen vb: waterstofperoxyde). Deze middelen worden in een verdunde vorm (3-5 %) gebruikt. </t>
  </si>
  <si>
    <t xml:space="preserve">Bij het toepassen van voor- en na-ontvlekking kunnen kleine hoeveelheden solvents in de lucht komen. Deze solvents kunnen afgezogen worden door een ventilatiesysteem en in de buitenlucht gebracht worden. </t>
  </si>
  <si>
    <t>Gebruik maken van meer milieuvriendelijke ontvlekkers.</t>
  </si>
  <si>
    <t>De verhouding tussen de grondstoffenvoorraad en hoeveelheid afvalstoffen enerzijds en de frequentie van levering van producten en ophaling van afvalsoffen/lege recipiënten anderzijds dient optimaal te zijn, zodat het globale risico en gevaar minimaal is.</t>
  </si>
  <si>
    <t>Het reinigingsproces wordt in zijn geheel in één machine uitgevoerd en kan onderverdeeld worden in de reiniging, de droging en de terugwinning van het oplosmiddel.</t>
  </si>
  <si>
    <t>Proces (1)</t>
  </si>
  <si>
    <t>Proces (2)</t>
  </si>
  <si>
    <t>Proces (3)</t>
  </si>
  <si>
    <t>Proces (4)</t>
  </si>
  <si>
    <t>Proces (5)</t>
  </si>
  <si>
    <t>Proces (6)</t>
  </si>
  <si>
    <t>Proces (7)</t>
  </si>
  <si>
    <t>Risicoplaats (1)</t>
  </si>
  <si>
    <t>Risicoplaats (2)</t>
  </si>
  <si>
    <t>Risicoplaats (3)</t>
  </si>
  <si>
    <t>Risicoplaats (4)</t>
  </si>
  <si>
    <t>Algemene bedrijfsvoering (1)</t>
  </si>
  <si>
    <t>Algemene bedrijfsvoering (2)</t>
  </si>
  <si>
    <t>Algemene bedrijfsvoering (3)</t>
  </si>
  <si>
    <t>Algemene bedrijfsvoering (4)</t>
  </si>
  <si>
    <t>Algemene bedrijfsvoering (5)</t>
  </si>
  <si>
    <t>Het risico kan verhoogd worden bij gezamenlijke opslag met detergenthoudende stoffen. Immers simultaan vrijkomen naar de bodem van met name PER en detergenten verhoogt de wateroplosbaarheid van PER.</t>
  </si>
  <si>
    <t>Het risico kan verhoogd worden bij gezamenlijke opslag met brandbare producten. Immers bij een brand van deze laatste is de kans dat de PER-opslag beschadigd wordt groter en bijgevolg ook de kans op een lek naar de bodem.</t>
  </si>
  <si>
    <t>Zie ook: …</t>
  </si>
  <si>
    <t>Zie ook …</t>
  </si>
  <si>
    <t>de machines moeten uitgerust zijn met: een dubbele controle tegen het overkoken van de destillatieketel (Vlarem II, Art. 5.41.2.2.§ 2)</t>
  </si>
  <si>
    <t>de machines moeten uitgerust zijn met: een regenereerbare filter voor het zuiveren van het oplosmiddel (Vlarem II, Art. 5.41.2.2.§ 2)</t>
  </si>
  <si>
    <t>Het is verboden de laaddeur van een machine voor het einde van het droog-/ontgeuringsproces te openen. De laaddeur is voorzien van een beveiligd, automatisch afgrendelsysteem dat elke manuele opening voor het einde van het droog-/ontgeuringsproces verhindert, behalve in uiterst dringende gevallen, met name bij een nakend ongeval of een storing. De andere openingen van de machine zijn
uitgerust met een systeem dat de machine stillegt bij opening tijdens de werking van de machine.
(Exploitatievoorwaarden voor chemische textielreiniging met solventen - Publicatie voor de Brusselse ondernemingen)</t>
  </si>
  <si>
    <t>De machines plaatsen in een voor het publiek ontoegankelijke ruimte. In alle andere gevallen een niet-toeganeklijk zone definëren rondom de machine. (Exploitatievoorwaarden voor chemische textielreiniging met solventen - Publicatie voor de Brusselse ondernemingen)</t>
  </si>
  <si>
    <t>Het eigenlijke reinigen is een proces dat relatief weinig effecten heeft op het milieu. Door kleine lekken en door het “ademen” van de machine kunnen kleine hoeveelheden oplosmiddel in de lucht terecht komen. Door gemorste hoeveelheden oplosmiddel of lekken in (oudere) machines kan bodem- en/of grondwaterverontreiniging ontstaan</t>
  </si>
  <si>
    <t>Bij het manueel vullen kan product gemorst worden en/of kan men de machine gaan overvullen. Bij het automatisch vullen van de machine dienen regelmatig nieuwe vaten aangesloten te worden en lege vaten vervangen te worden. Bij deze handelingen bestaat er er een zeker risico op bodem- en/of grondwaterverontreiniging</t>
  </si>
  <si>
    <t>Het voorzien van de nodige adsorberende stoffen in het geval van calamiteiten, alsook het voorzien van lek-kits (adsorberende doeken, adsorberende cilindervormige kussens, handschoenen, veiligheidsbril, opvangbak,…)</t>
  </si>
  <si>
    <t>Goten of afvoerputten dienen hermetisch afgesloten te worden tijdens het vullen en ledigen van de machine.</t>
  </si>
  <si>
    <t>De reinigingsproducten/afvalstoffen worden geleverd/opgehaald door een externe firma.</t>
  </si>
  <si>
    <t>De recipiënten dienen te voldoen aan bepaalde kwaliteitseisen. Indien deze recipiënten niet goed afsluiten of beschadigd zijn, is er een zeker gevaar op lekken van de inhoud ervan.</t>
  </si>
  <si>
    <t>Tijdens het overbrengen van de recipiënten met reinigingsproducten naar de opslagplaats dienen lege opvangbakken aanwezig te zijn, waar de eventuele lekkende recipiënten onmiddellijk in kunnen geplaatst worden. Deze opvangbakken dienen voldoende groot te zijn en te kunnen weerstaan aan de aard van het product.</t>
  </si>
  <si>
    <t>Goten of afvoerputten dienen hermetisch afgesloten te worden tijdens het overbrengen van de recipiënten.</t>
  </si>
  <si>
    <t>De droogkuismachine dient regelmatig onderhouden te worden. Bij storing in de werking van de machine tijdens of buiten het reinigingsproces zijn herstellingswerken/onderhoudswerken noodzakelijk.</t>
  </si>
  <si>
    <t>Tijdens het onderhoud of de herstellingswerken kunnen reinigingsproducten (in machine, leidingen,…) vrijkomen.</t>
  </si>
  <si>
    <t>Indien de machine tijdens of buiten het reinigingsproces stilvalt, dienen de noodzakelijke herstellingswerken op een deskundige manier te gebeuren en dient ervoor gezorgd te worden dat alle reinigingsproducten vooraf op een veilige manier verwijderd zijn uit de machine.</t>
  </si>
  <si>
    <t>Zie Proc 3</t>
  </si>
  <si>
    <t>Zie alge1</t>
  </si>
  <si>
    <t>Water -&gt; Bodem</t>
  </si>
  <si>
    <t>Tijdens het overbrengen van de recipiënten (vaten, bidons, flessen,…) met reinigingsproducten naar de opslagplaats kunnen zich calamiteiten voordoen, waardoor een risico ontstaat op lekken van deze recipiënten.</t>
  </si>
  <si>
    <t>Afval, lucht</t>
  </si>
  <si>
    <t>Bodem, lucht, water</t>
  </si>
  <si>
    <t>De opslag van producten, nodig bij droogkuisactiviteiten, zoals ontvlekkingsproducten, reinigingsproducten, afvalstoffen,…</t>
  </si>
  <si>
    <t>Oplosmiddelen opslaan in recipiënten die luchtdicht, voldoende sterk en geschikt zijn voor het opslaan van het oplosmiddel (Vlarem II, art. 5.41.2.5)</t>
  </si>
  <si>
    <t>De recipiënten moeten beschut zijn tegen schokken en warmte, en bewaard worden op een plaats die niet toegankelijk is voor het publiek. (Exploitatievoorwaarden voor chemische textielreiniging met solventen - Publicatie voor de Brusselse ondernemingen)</t>
  </si>
  <si>
    <t>De opslagplaats moet langs boven en beneden verlucht worden, aangezien PER vijfmaal zwaarder is dan lucht. (Exploitatievoorwaarden voor chemische textielreiniging met solventen - Publicatie voor de Brusselse ondernemingen)</t>
  </si>
  <si>
    <t>Alle ruimtes en handelingen</t>
  </si>
  <si>
    <t>Reservoirs of recipiënten in de machine overvullen.</t>
  </si>
  <si>
    <t xml:space="preserve">Indien de machine tijdens de reinigingscyclus geopend wordt, kunnen geconcentreerde PER-dampen of ook PER-vloeistof vrijkomen. </t>
  </si>
  <si>
    <t>Alternatieve reinigingsmachine zonder PER of Chloor-KWS maar met Greenearth of met KWS</t>
  </si>
  <si>
    <t>Destillator, de reinigingsruimte en de verschillende reservoirs … zijn risicopunten voor overvullen.</t>
  </si>
  <si>
    <t>Proc4</t>
  </si>
  <si>
    <t>Leveren van producten - afhalen van solventhoudende afvalstoffen in vaten</t>
  </si>
  <si>
    <t>Lege opvangbakken aanwezig tijdens laden / lossen recipiënten met solventen</t>
  </si>
  <si>
    <t>Absorptiemateriaal</t>
  </si>
  <si>
    <t>In plaats van met klassieke vaten of recipiënten, werken met SAFETAINER of gelijkwaardig</t>
  </si>
  <si>
    <t>Opslag van solventen</t>
  </si>
  <si>
    <t>Oplosmiddelen opslaan in recipiënten die luchtdicht, voldoende sterk en geschikt zijn</t>
  </si>
  <si>
    <t>De opslagzone is als volgt ingericht :</t>
  </si>
  <si>
    <t>De opslag gebeurt gescheiden van oppervlakken met een temperatuur &gt; 150 °C EN van de opslag van ontvlambare stoffen. De scheiding is gerealiseerd door minstens 1 van de volgende:</t>
  </si>
  <si>
    <t xml:space="preserve">   afstand van minstens 2 m</t>
  </si>
  <si>
    <t xml:space="preserve">   brandwerende muur</t>
  </si>
  <si>
    <t xml:space="preserve">   opslag gebeurt in een normaal afgesloten brandwerende milieukast</t>
  </si>
  <si>
    <t>(PS : textiel, papier of kunststof voor verpakking, geconcentreerde detergenten, stookolietank, … zijn allemaal brandbaar maar niet ontvlambaar)</t>
  </si>
  <si>
    <t>klassieke vaten of recipiënten</t>
  </si>
  <si>
    <t>neen</t>
  </si>
  <si>
    <t>ja</t>
  </si>
  <si>
    <t>recipiënten van type Safetainer of gelijkwaardig</t>
  </si>
  <si>
    <t>a1</t>
  </si>
  <si>
    <t>a2</t>
  </si>
  <si>
    <t>Opslag boven opvangbak of in een niet-brandwerende kast met opvangbak</t>
  </si>
  <si>
    <t>Voldoende groot (cfr. dimensies volgens Vlarem II)</t>
  </si>
  <si>
    <t>Met een opvangcapaciteit die echter kleiner is dan volgens Vlarem II</t>
  </si>
  <si>
    <t>Lek-kits voor opvang van lekken en morsen zijn aanwezig in betrokken ruimte.</t>
  </si>
  <si>
    <t>De vloer van ALLE te passeren ruimtes geldt:</t>
  </si>
  <si>
    <t>Bij de inventarisatie wordt, op een pragmatische manier, ook gekeken naar risicoverhogende factoren die in sommige bedrijven kunnen voorkomen. Concreet indien in een geïntegreerde wasserij (droogkuis en natwas samen) bepaalde risico's aanwezig zijn die niet aanwezig zijn in een op zichzelf staande droogkuis, dan worden deze ook aangeduid.</t>
  </si>
  <si>
    <t xml:space="preserve">Tijdens reinigingscyclus de machine openen. Indien de machine tijdens de reinigingscyclus geopend wordt, kunnen geconcentreerde PER-dampen of ook PER-vloeistof vrijkomen. </t>
  </si>
  <si>
    <t>Tijdens het overbrengen van de recipiënten (vaten, bidons, flessen,…) met reinigingsproducten naar de opslagplaats kunnen zich calamiteiten voordoen, waardoor een risico ontstaat op lekken van deze recipiënten. De recipiënten dienen te voldoen aan bepaalde kwaliteitseisen. Indien deze recipiënten niet goed afsluiten of beschadigd zijn, is er een zeker gevaar op lekken van de inhoud ervan. Het risico kan verhoogd worden indien de verplaatsing van de vrachtwagen naar de opslagplaats of machine of terug langs plaatsen passeert waarbij het omvallen van een recipiënt kan leiden tot schade aan het recipiënt. Voorbeelden zijn trappen, laadkaaien,  onvoldoende beveiligde liften, ...</t>
  </si>
  <si>
    <t xml:space="preserve"> -</t>
  </si>
  <si>
    <t>Risico-omschrijving per item</t>
  </si>
  <si>
    <t>Transport van solventen</t>
  </si>
  <si>
    <t>PM 13</t>
  </si>
  <si>
    <t>PM 14</t>
  </si>
  <si>
    <t>PM 15</t>
  </si>
  <si>
    <t>PM 16</t>
  </si>
  <si>
    <t>PM 17</t>
  </si>
  <si>
    <t>PM 18</t>
  </si>
  <si>
    <t>PM 19</t>
  </si>
  <si>
    <t>Automatisch systeem met overvulbeveiliging op laaddeur, oplosmiddelentanks en destillator</t>
  </si>
  <si>
    <t>In plaats van de minimale beveiliging met laadstreep cfr. VLAREM wordt gebruik gemaakt van een automatische bescherming tegen overvulling.</t>
  </si>
  <si>
    <t>Beveiliging tegen overvullen</t>
  </si>
  <si>
    <t>Het risico kan verhoogd worden indien de verplaatsing van de vrachtwagen naar de opslagplaats of machine of terug langs plaatsen passeert waarbij het omvallen van een recipiënt kan leiden tot schade aan het recipiënt. Voorbeelden zijn trappen, laadkaaien,  onvoldoende beveiligde liften, ...</t>
  </si>
  <si>
    <t>Specifieke risicoplaatsen op route van en naar vrachtwagen zijn vermeden of zijn beveiligd</t>
  </si>
  <si>
    <t xml:space="preserve">Dit werkblad herneemt alleen de preventieve maatregelen die relevant zijn voor bodem. </t>
  </si>
  <si>
    <t xml:space="preserve">Ook dubbele maatregelen, die bij de inventarisatie meermaals zijn vermeld, worden hier uitgefilterd. </t>
  </si>
  <si>
    <t>(Zie kolom "referentie")</t>
  </si>
  <si>
    <t>Plaa1</t>
  </si>
  <si>
    <t>Plaa4</t>
  </si>
  <si>
    <t>Plaa 1</t>
  </si>
  <si>
    <t>Proc 5</t>
  </si>
  <si>
    <t xml:space="preserve">Het plaatsen van de producten en milieu-kasten (niet-brandwerende veiligheidskasten) of brandwerende veiligheidskasten met opvanglegborden en eventueel onderaan een opvangbak met rooster. </t>
  </si>
  <si>
    <t>Gebruik maken van adsorberende matten (eenmalig gebruik), afvoerafsluitingen (herbruikbaar) om roosters af te sluiten alsook barrièresystemen (opstaande rand) om rond een afvoer te plaatsen.</t>
  </si>
  <si>
    <t>De vloer van lokalen waar oplosmiddel in vloeibare vorm aanwezig is, moet vloeistofdicht en oplosmiddelbestendig uitgevoerd worden. (Vlarem II, art. 5.41.2.4§4)</t>
  </si>
  <si>
    <t xml:space="preserve">Bij de beslissing of een bijdrage al dan niet relevant is, wordt pragmatisch gewerkt. Een bepaalde risicoroute is niet relevant, indien de totale immissie over de normale levensduur van een bedrijf of installatie naar bodem duidelijk lager is dan de kleinste hoeveelheid die in de praktijk vastgesteld wordt bij concrete dossiers waarbij een sanering noodzakelijk blijkt te zijn. </t>
  </si>
  <si>
    <t>prev</t>
  </si>
  <si>
    <t>uitvoeringsalternatief</t>
  </si>
  <si>
    <t xml:space="preserve">verder uitwerken </t>
  </si>
  <si>
    <t>De route waarlangs vaten e.d. van en naar de vrachtwaten verplaatst worden, is veilig, in die zin dat een vat niet kan vallen of slechts van een zeer beperkte hoogte kan vallen (concreet betekent dit b.v. vermijden trappen; hoogteverschillen overwinnen met lift; relingen waar nodig ;  ...)</t>
  </si>
  <si>
    <t>De vloer van de ruimte waar deze activiteit doorgaat, is als volgt:</t>
  </si>
  <si>
    <t>Voor de condensatie van het verdampte oplosmiddel worden twee systemen gebruikt. Het eerste systeem maakt gebruik van water als koelvloeistof. De koeltemperatuur is dus afhankelijk van de temperatuur van het (leiding)water. Bij continue doorstroming kan gekoeld worden tot 20 °C. Dit vergt echter een zeer groot waterverbruik. Door de relatief hoge temperatuur van het koelwater is de terugwinning van het oplosmiddel uit de drooglucht beperkt. Het tweede systeem, dat nu meer ingang vindt, maakt gebruik van een diepkoelaggregaat. Er is geen koelwater meer nodig en de temperatuur waarop condensatie gebeurt is veel lager (ongeveer 0 °C) waardoor veel minder restanten van het oplosmiddel in de drooglucht aanwezig blijven.</t>
  </si>
  <si>
    <t>Leeswijzer</t>
  </si>
  <si>
    <t>Dit workbook bevat de analyse van risico's en preventieve maatregelen voor de droogkuis.</t>
  </si>
  <si>
    <t>Het is als volgt opgebouwd:</t>
  </si>
  <si>
    <t>Systematische inventarisatie van alle mogelijke risico's en bijhorende preventieve maatregelen.</t>
  </si>
  <si>
    <t>1.</t>
  </si>
  <si>
    <t>Het hoofddoel van deze eerste stap is te garanderen dat alle risico's en alle mogelijke verspreidingswegen in kaart zijn gebracht. Daarom wordt het hele proces, in dit geval dus droogkuis, vanuit drie invalshoeken bekeken:</t>
  </si>
  <si>
    <t>- de verschillende processtappen</t>
  </si>
  <si>
    <t>- de verschillende ruimtes / plaatsen waarin de bewerkingen plaatsvinden en gebruikte producten worden opgeslagen</t>
  </si>
  <si>
    <t>- algemene aspecten van het beheer zoals aankoopbeleid, opleidingen, onderhoud, aanpak bij een calamiteit, metingen en registraties</t>
  </si>
  <si>
    <t>Telkens wordt in een vast systematisch stramien elke processtap, elke plaats en elk algemeen aspect beschreven, worden vervolgens de mogelijke risico's voor vrijstelling van de geselecteerde polluent(en) opgesomd en kort omschreven en tenslotte alle preventieve maatregelen om één of meerdere van de beschreven risico's te beheersen.</t>
  </si>
  <si>
    <t>Dit gebeurde voor de droogkuissector in de volgende werkbladen:</t>
  </si>
  <si>
    <t>- PROC1 … PROC7 : de verschillende processtappen</t>
  </si>
  <si>
    <t>- ALGE1 … ALGE5 : de verschillende algemene aspecten</t>
  </si>
  <si>
    <t>- PLAA1 … PLAA4 : de verschillende ruimtes en opslagplaatsen</t>
  </si>
  <si>
    <t>Haast onvermijdelijk bevatten deze tabellen teveel informatie.</t>
  </si>
  <si>
    <t>Nabehandeling</t>
  </si>
  <si>
    <t>Reinigingsproces</t>
  </si>
  <si>
    <t>Vullen en ledigen van machine</t>
  </si>
  <si>
    <t>Voorbehandeling</t>
  </si>
  <si>
    <t>Omschrijving risico's</t>
  </si>
  <si>
    <t xml:space="preserve"> - </t>
  </si>
  <si>
    <t>de machines moeten uitgerust zijn met een dubbele waterafscheider in serie om de hoeveelheid tetrachlooretheen in het afvalwater te verkleinen (Vlarem II, Art. 5.41.2.2.§ 2)</t>
  </si>
  <si>
    <t>de machines moeten uitgerust zijn met: een automatische afgrendelsysteem van de laaddeur, spelden- en pluizenvanger, dat ervoor zorgt dat die pas geopend kunnen worden nadat de droogcyclus volledig is afgelopen (Vlarem II, Art. 5.41.2.2.§ 2)</t>
  </si>
  <si>
    <t>de machines moeten uitgerust zijn met: een vulstreep op de laaddeur, de oplosmiddeltanks en de destillator als beveiliging tegen overvullen. De machine mag nooit boven deze vulstreep geladen worden (Vlarem II, Art. 5.41.2.2.§ 2)</t>
  </si>
  <si>
    <t>Voor elke machine houdt de exploitant een verslag ter beschikking van de toezichthoudende overheid, waarin aangetoond wordt dat aan de gestelde voorwaarden voldaan is. Dat verslag moet worden opgesteld door een milieudeskundige, erkend in de discipline lucht, en bevat de volgende elementen: 
het verslag van een meting waaruit blijkt dat de concentratie aan tetrachlooretheen in de lucht, direct boven pas gelost textiel, maximaal 240 mg/m³ bedraagt; 
een attest waarin de conformiteit wordt bevestigd van de machine met de gestelde voorwaarden; 
een beschrijving van de voorwaarden die bij de exploitatie nageleefd moeten worden zodat de grenswaarde 240 mg/m3 voor tetrachlooretheen in de lucht, direct boven pas gelost textiel, te allen tijde nageleefd zal worden, zodat de emissies in de lucht tot een minimum beperkt worden. (Vlarem II, art. 5.41.2.2§4)</t>
  </si>
  <si>
    <t>Bijhouden van de solventboekhouding stelt de exploitant in staat op relatief korte tijd een overzicht te krijgen inzake het solventverbruik (Vlarem II, art. 5.59.3.2.)</t>
  </si>
  <si>
    <t>De exploitant registreert alle storingen, calamiteiten en de resultaten van de voorgeschreven metingen en controles van de machines, zoals bepaald in dit artikel, in een logboek. Dat logboek wordt voor een periode van minstens 5 jaar na de laatste registratie bewaard en ter inzage van de toezichthoudende overheid gehouden. (Vlarem II, art. 5.41.2.3§3)</t>
  </si>
  <si>
    <t>Bijhouden en jaarlijks melden van afgevoerde hoeveelheden afvalstoffen.</t>
  </si>
  <si>
    <t>Het management moet zich bewust zijn van de mogelijke gevaren en risico's die kunnen ontstaan ten gevolge van het uitoefenen van droogkuisactiviteiten en de daarbij horende opslag van gevaarlijke producten,… Dit bewustzijn van het management moet doorgegeven worden aan de werknemers. Het management moet zich eveneens bewust zijn dat het personeel voldoende opleiding krijgt inzake het gebruik van machines en producten, alsook inzake het omgaan met calamiteiten.</t>
  </si>
  <si>
    <t>Machines mogen enkel bediend worden door de exploitant of door de schriftelijk door hem aangestelde personen die de noodzakelijke opleiding gekregen hebben, en die ook alle instructies hebben gekregen met betrekking tot hun verplichtingen in verband met de controle van de machine en van de emissies in het milieu. (Vlarem II, art. 5.41.2.4§6)</t>
  </si>
  <si>
    <t xml:space="preserve">De leveranciers en ophalers van gevaarlijke producten dienen deskundig te werken. Bij de levering van vaten, recipiënten dient gekeken te worden of deze vaten en recipiënten voldoen aan alle veiligheidseisen en conform de leveranciersnormen zijn. </t>
  </si>
  <si>
    <t>Reinigingsfirma's (reiniging machine,…) dienen deskundig te werken.</t>
  </si>
  <si>
    <t>De verlaging van het risico is vooral doordat het product geen DNAPL vormt en zich minder diep verspreid dan PER en door lagere toxiditeit en nauwelijks of niet omdat KWS veel sneller afbreken in de bodem.</t>
  </si>
  <si>
    <t>Alle aanwezige solventen zijn lichter dan water (KWS, Greenearth); er wordt geen PER gebruikt.</t>
  </si>
  <si>
    <t>Verplaatsing van recipiënten met (afval)reinigingsproduct gebeurt door vast en opgeleid personeel</t>
  </si>
  <si>
    <t>Scores</t>
  </si>
  <si>
    <t>Scoretabel, waarin voor elke handeling of plaats in het bedrijf gescreend wordt of de aanwezige maatregelen het risico ver genoeg terugdringen.</t>
  </si>
  <si>
    <t>Alle solventen worden uit de machine verwijderd voorafgaand aan elk onderhoud.</t>
  </si>
  <si>
    <t>Een inrichting die met gehalogeneerde solventen werkt en grenst aan woonruimten of lokalen waar voedingsmiddelen bestemd voor menselijk gebruik worden opgeslagen of verkocht, moet zo worden ingericht dat elke diffusie van solventen door muren en plafonds naar aangrenzende ruimten wordt voorkomen. De gemiddelde
concentratie aan gehalogeneerde solventen, over 24 uur gemeten, in de aangrenzende ruimten mag nooit hoger liggen dan 0,7 ppm. Concreet moet poreus materiaal, zoals baksteen, cellenbeton en plaaster, vermeden worden. De vloeren, plafonds en muren moeten voorzien zijn van een laag polyurethaanverf zonder metaaldeeltjes, een laag in water oplosbare mineraalverf of een laag epoxyverf. Het werk moet correct uitgevoerd worden zodat de waterdichtheid verzekerd blijft. (Exploitatievoorwaarden voor chemische textielreiniging met solventen - Publicatie voor de Brusselse ondernemingen)</t>
  </si>
  <si>
    <t>De inrichting moet uitgerust zijn met een draagbare gasdetector om eventuele solventenlekken op te sporen. Met behulp van deze detector dient de exploitant regelmatig in de werkplaats de dichtheid controleren van de buizen en pakkingen die het solvent bevatten. (Exploitatievoorwaarden voor chemische textielreiniging met solventen - Publicatie voor de Brusselse ondernemingen)</t>
  </si>
  <si>
    <t>De inrichtingen die meer dan 10kg/u totaal organische koolstof uitstoten, moeten in de afvoerbuis apparatuur voor continumetingen plaatsen. De meet- en analysemethode kunnen in de milieuvergunning worden bepaald (Exploitatievoorwaarden voor chemische textielreiniging met solventen - Publicatie voor de Brusselse ondernemingen)</t>
  </si>
  <si>
    <t>De afvoer van bedrijfsafvalwater kan gebeuren via de riolering. Het contactwater werd vroeger frequent zonder enige filter via de riolering verwijderd.</t>
  </si>
  <si>
    <t>Elke directe verbinding tussen de reinigingsmachine en de riolering is verwijderd</t>
  </si>
  <si>
    <t>De opslag van droogkuisproducten gebeurt volledig gescheiden van detergenten of van detergenthoudende producten (b.v. van natwasserij). Ook in geval van lekken kunnen droogkuisproducten niet in contact komen met detergenten.</t>
  </si>
  <si>
    <t>Geen enkel droogkuisproduct wordt opgeslagen in bulk (vaste tank) of in een minicontainer; alle droogkuisproducten worden opgeslagen in verplaatsbare verpakkingen van maximaal 200 l (bussen, vaten, ...).</t>
  </si>
  <si>
    <t>Bij storing in de werking van de machine tijdens het reinigingsproces zijn herstellingswerken/onderhoudswerken noodzakelijk. Tijdens deze werken kunnen reinigingsproducten (in machine, leidingen,…) vrijkomen.</t>
  </si>
  <si>
    <t xml:space="preserve">Bij onderhoud, storingen, … kan het water van het waterslot vrijkomen en geloosd worden. Het water van het waterslot is verzadigd met PER. Het gaat om een klein risico (beperkte hoeveelheid water, lage oplosbaarheid). </t>
  </si>
  <si>
    <t>Waterslot</t>
  </si>
  <si>
    <t>Storingen aan machine / herstellingen</t>
  </si>
  <si>
    <t>Herwinnen van oplosmiddel</t>
  </si>
  <si>
    <t>Emissie naar lucht</t>
  </si>
  <si>
    <t>Kleine lekken.</t>
  </si>
  <si>
    <t>Zie vooral Plaa4</t>
  </si>
  <si>
    <t>X</t>
  </si>
  <si>
    <t>Onopgeloste vuilresten in de PER kunnen door filtratie verwijderd worden. Hiertoe zijn verschillende systemen op de markt. Vanuit milieuoogpunt zijn filters te verkiezen waaruit het vuil te verwijderen is en die nadien terug gebruikt kunnen worden (=regenereerbaar)</t>
  </si>
  <si>
    <t>Voor alle te passeren ruimtes geldt : Lek-kits voor opvang van lekken en morsen zijn aanwezig in betrokken ruimte.</t>
  </si>
  <si>
    <t>Ieder risico is een kengetal toegekend van 1 - 10. Het kengetal is evenredig met de grootteorde aan hoeveelheid onderzochte polluent die zou kunnen vrijkomen indien de preventieve maatregelen ontoereikend zouden zijn. In veel gevallen is dit de totale aanwezige hoeveelheid. In sommige gevallen is dit zelfs een veelvoud van de aanwezige hoeveelheid, nl. bij situaties waarbij een lek zeer lang onopgemerkt aanwezig is en waarbij de weggelekte hoeveelheden telkens opnieuw vervangen of bijgevuld worden.</t>
  </si>
  <si>
    <t>Sommige maatregelen verhouden zich als of / of ; analoog is het mogelijk dat wanneer één maatregel al genomen is, een andere maatregel nauwelijks nog bijkomend effect zal hebben. In die gevallen moet dit expliciet aangeduid worden door een risico voor deze combinaties van maatregelen vast te leggen.</t>
  </si>
  <si>
    <t xml:space="preserve">Andere maatregelen zijn cumulatief. Bijvoorbeeld: indien een machine regelmatig nagezien wordt op lekken en regelmatig onderhouden wordt leidt dit tot een bepaalde beperking van het risico (b.v.  100% -&gt; 20%). Indien die machine opgesteld staat in een ruimte met polluent-dichte vloer, dan leidt die maatregel op zich ook tot een bepaalde beperking van het risico (b.v. 100% -&gt; 10%; die 10% houdt dan rekening met het feit dat door slijtage, productiefouten, ... er altijd wel een risico op een lek, barst, ... blijft bestaan in de loop van de levensloop van deze vloeistofdichte vloer). Indien beide maatregelen simultaan worden genomen, zijn ze cumulatief. Het risico wordt door beide maatregelen samen herleid van 100% -&gt; 20% x 10% m.a.w. 100% -&gt; 2%. Indien daarbovenop nog eens een organisatorische maatregel wordt genomen voor calamiteitenpreventie b.v. beschikken over een kit absorptiemateriaal, dan daalt het risico nog verder; dit is immers eveneens een cumulatieve maatregel. Voor cumulatieve maatregelen wordt nadien de gezamenlijke risicobeperking bepaald door vermenigvuldigen. </t>
  </si>
  <si>
    <t>Evenals bij het dubbel waterslot wordt bij toepassing van een “milieuklep” gepoogd de door de ontluchtingsleiding afgevoerde lucht tot een minimum te beperken. Deze voorziening wordt meestal gebruikt in combinatie met waterkoeling en het dubbel waterslot.</t>
  </si>
  <si>
    <t>Ruimteventilatie</t>
  </si>
  <si>
    <t>Groepering</t>
  </si>
  <si>
    <t>Referentie werkblad</t>
  </si>
  <si>
    <t>Geclusterde maatregelen</t>
  </si>
  <si>
    <t>RisicoVERHOGEND:</t>
  </si>
  <si>
    <t>De afvoer van bedrijfsafvalwater kan gebeuren via de riolering. Het contactwater werd vroeger frequent zonder enige filter via de riolering verwijderd. Dit kan manueel gebeuren ; bij een directe verbinding tussen de machine en de riolering is het risico hoger. Bij lekken of andere gebreken van de bedrijfs- of openbare riolering onstaat een groot gevaar op bodemverontreiniging. Contactwater bestaat is immers verzadigd met PER; vaak is ook een kleine hoeveelheid niet opgelost PER aanwezig. Koelwater kan uitzonderlijk - bij een lek in de koeler - met PER verontreinigd worden.</t>
  </si>
  <si>
    <t>Voor de condensatie van het verdampte oplosmiddel worden twee systemen gebruikt. Het eerste systeem maakt gebruik van water als koelvloeistof. De koeltemperatuur is dus afhankelijk van de temperatuur van het (leiding)water. Bij continue doorstroming kan gekoeld worden tot 20 °C. Dit vergt echter een zeer groot waterverbruik. Door de relatief hoge temperatuur van het koelwater is de terugwinning van het oplosmiddel uit de drooglucht beperkt. Het tweede systeem, dat nu meer ingang vindt, maakt gebruik van een diepkoelaggregaat. Er is geen koelwater meer nodig en de temperatuur waarop condensatie gebeurt is veel lager (ongeveer 0 °C) waardoor veel minder restanten van het oplosmiddel in de drooglucht aanwezig blijven. Er is vooral een risico in het geval van lekken in de warmtewisselaar waardoor PER in het koelwater terechtkomt.</t>
  </si>
  <si>
    <t>Het risico van een bulkopslag is door de grote hoeveelheid potentieel een grootteorde hoger dan 500. Dit risico wordt niet verder onderzocht, omdat bulkopslag in de praktijk zelden of nooit wordt toegepast voor droogkuis, omdat het wettelijk verboden is en omdat het technisch helemaal niet nodig is omwille van de eerder lage verbruiken, zeker bij moderne machines.</t>
  </si>
  <si>
    <t>De opslag van droogkuisproducten houdt een risico naar bodemverontreiniging in. De opslag gebeurt in vaten van enkele liters inhoud of in grotere recipiënten (vat of tank). Gelet op de hoge concentraties, kan bij lekken van de verpakking, een aanzienlijke bodemverontreiniging ontstaan. Hoe groter het recipiënt, hoe groter de mogelijke milieuschade. Het risico wordt verder verhoogd door gezamenlijke opslag met brandbare producten of detergenthoudende producten.</t>
  </si>
  <si>
    <t>Opmerking</t>
  </si>
  <si>
    <t>Kengetal risico</t>
  </si>
  <si>
    <t>Kenfactor PM</t>
  </si>
  <si>
    <t>Risicofactor</t>
  </si>
  <si>
    <t>Het verwijderen van solventhoudende afvalstoffen, waaronder het contactwater, gebeurt via erkende ophalers en verwerkers.</t>
  </si>
  <si>
    <t>Overschakelen op diepkoelaggregaat (koelwatervrij)</t>
  </si>
  <si>
    <t>De opslag van droogkuisproducten houdt een risico naar bodemverontreiniging in. De opslag gebeurt in vaten van enkele liters inhoud of in grotere recipiënten (vat of tank). Gelet op de hoge concentraties, kan bij lekken van de verpakking, een aanzienlijke bodemverontreiniging ontstaan. Hoe groter het recipiënt, hoe groter de mogelijke milieuschade.  Het risico kan verhoogd worden bij gezamenlijke opslag met detergenthoudende stoffen. Immers simultaan vrijkomen naar de bodem van met name PER en detergenten verhoogt de wateroplosbaarheid van PER.  Het risico kan verhoogd worden bij gezamenlijke opslag met brandbare producten. Immers bij een brand van deze laatste is de kans dat de PER-opslag beschadigd wordt groter en bijgevolg ook de kans op een lek naar de bodem. Bulkopslag wordt hier niet in detail onderzocht; indien het zou voorkomen is het risico zo groot dat PM27, buitengebruikstelling, onmiddellijk moet overwogen worden.</t>
  </si>
  <si>
    <t>scoretabel 6</t>
  </si>
  <si>
    <t>(=scoretabel1?)</t>
  </si>
  <si>
    <t>scoretabel 7</t>
  </si>
  <si>
    <t xml:space="preserve">Bijkomende maatregelen voor voorbeeldbedrijf </t>
  </si>
  <si>
    <t>Partiële opvang onder bestaande machine toevoegen</t>
  </si>
  <si>
    <t>Ook in voorbehandeling kit voor noodvang beschikbaar maken en PERhoudende ontvlekker supprimeren</t>
  </si>
  <si>
    <t>Vullen van machine niet meer manueel maar met pomp en automatische overvulbeveiliging</t>
  </si>
  <si>
    <t>Verschillende kleinere opvanbakken die achteraf onder een bestaande machine zijn aangebracht  en die samen over quasi de volledige oppervlakte van de machine en de hulpapparatuur lekken opvangen</t>
  </si>
  <si>
    <t>Ontvlekkers niet op chloor-koolwaterstofbasis verdienen de voorkeur. Ontvlekkers met (mogelijke) carcinogene werking moeten vermeden worden.</t>
  </si>
  <si>
    <t>Vlekken die niet of slechts gedeeltelijk met het droogkuissolvent verwijderd  worden kunnen achteraf met speciale oplosmiddelen behandeld worden.</t>
  </si>
  <si>
    <t>Na de eventuele voorbehandeling (Proc/1/Voorbehandeling) vindt het eigenlijk droogkuisproces plaats.           Dit proces wordt in zijn geheel in één machine uitgevoerd en kan onderverdeeld worden in de
reiniging, de droging en de terugwinning van het oplosmiddel.</t>
  </si>
  <si>
    <t>De nieuwe recipiënten dienen op een correcte wijze aangevoerd en/of aangekoppeld te worden.</t>
  </si>
  <si>
    <t>zie ook alge1</t>
  </si>
  <si>
    <t>Verdere uitwerking van "onderhoud volgens checklist"</t>
  </si>
  <si>
    <t>Bodem, water, lucht, afval, gezondheid</t>
  </si>
  <si>
    <t>Lucht, bodem</t>
  </si>
  <si>
    <t>Weglaten. Wie nog een dergelijke machine heeft, zal bij om het even welk jaarlijks verslag toch volhouden dat hij die niet heeft.</t>
  </si>
  <si>
    <t>Sterke overlap management - personeel.</t>
  </si>
  <si>
    <t>Risico-omschrijving</t>
  </si>
  <si>
    <t>Proc1</t>
  </si>
  <si>
    <t>Proc2</t>
  </si>
  <si>
    <t>Plaa2</t>
  </si>
  <si>
    <t>Voorbehandeling, nabehandeling</t>
  </si>
  <si>
    <t>Risico</t>
  </si>
  <si>
    <t>zie ook proc1 en proc2</t>
  </si>
  <si>
    <t>Er zijn geen goten of afvoerputten aanwezig in de ruimtes waarin zich textielmachines bevinden, noch in ruimtes waarnaar vloeistof kan aflopen vanuit de ruimte waarin zich textielmachines bevinden.</t>
  </si>
  <si>
    <t>zie alg/3</t>
  </si>
  <si>
    <t>Vloeistofdichte vloer</t>
  </si>
  <si>
    <t>Let-kits bij morsen.</t>
  </si>
  <si>
    <t>Regelmatig b.v. minstens jaarlijks nagaan of inkuipingen en vloeistofdichte vloer nog in goede staat zijn en geen lekken, barsten, openingen, … vertonen</t>
  </si>
  <si>
    <t>Jaarlijks nazicht goede staat vloeistofdichte vloer en inkuipingen.</t>
  </si>
  <si>
    <t>Deskundig en opgeleid personeel</t>
  </si>
  <si>
    <t>Leveranciers van solvent en afvalophalers zijn opgeleid en gebruiken veilig materiaal</t>
  </si>
  <si>
    <t>Opslag van ontvlekkers ter hoogte van de voor- en nabehandelingstafels zo veel mogelijk beperken, aangezien hier vaak geen preventieve maatregelen worden voorzien. Concreet: geen enkel recipiënt heeft een inhoud van meer dan 1 l of 1 kg.</t>
  </si>
  <si>
    <t>Alle ontvlekkers ter hoogte van voor- en nabehandelingstafels zitten in kleine recipiënten (&lt; 1 l / 1 kg).</t>
  </si>
  <si>
    <t>Mogelijke antwoorden</t>
  </si>
  <si>
    <t>Antwoord</t>
  </si>
  <si>
    <t>Ja</t>
  </si>
  <si>
    <t>Neen</t>
  </si>
  <si>
    <t xml:space="preserve">Er worden alleen ontvlekkers gebruikt die geen PER of chloorkoolwaterstof bevatten. </t>
  </si>
  <si>
    <t>Alge4</t>
  </si>
  <si>
    <t>Alge3</t>
  </si>
  <si>
    <t>Alge1</t>
  </si>
  <si>
    <t>Referentie</t>
  </si>
  <si>
    <t>Reiniging</t>
  </si>
  <si>
    <t>Het droogproces, en in het bijzonder de ontluchting, heeft bij veel van de thans werkende machines een aanzienlijke luchtverontreiniging tot gevolg. Bij waterkoeling is de concentratie van oplosmiddel in de uitgeblazen lucht nog groot (3.500 mg/m³). Daarnaast treedt een naar verhouding geringe emissie op ten gevolge van het lossen van de machine, lekkages, het “ademen” van de machine en het verdampen van solvent uit de textiel na het lossen van de machine. Deze emissies worden via de ruimteventilatie buiten de werkruimte gebracht. Het droogproces vraagt ook veel energie en veroorzaakt een kleine afvalstroom (pluizenfilter). Bij gebruik van een waterkoeler valt een aanzienlijk waterverbruik te noteren.</t>
  </si>
  <si>
    <t>Het proces op zich houdt weinig tot geen risico in naar bodemverontreiniging.</t>
  </si>
  <si>
    <t>De gebruiker van de oplosmiddelen dient deskundig te werken en op de hoogte te zijn van de gevaren en risico's naar bodemverontreiniging toe</t>
  </si>
  <si>
    <t>Het eigenlijke reinigen is een proces dat relatief weinig effecten heeft op het milieu. Door kleine lekken en door het “ademen” van de machine kunnen kleine hoeveelheden oplosmiddel in de lucht terecht komen. Door gemorste hoeveelheden oplosmiddel of lekken in (oudere) machines kan bodemverontreiniging ontstaan.</t>
  </si>
  <si>
    <t>Bij het manueel vullen kan product gemorst worden en/of kan men de machine gaan overvullen. Bij het automatisch vullen van de machine dienen regelmatig nieuwe vaten aangesloten te worden en lege vaten vervangen te worden. Bij deze handelingen bestaat er een zeker risico op bodemverontreiniging.</t>
  </si>
  <si>
    <t>Bij lekken of andere gebreken van de bedrijfs- of openbare riolering onstaat een groot gevaar op bodemverontreiniging. Contactwater bestaat is immers verzadigd met PER; vaak is ook een kleine hoeveelheid niet opgelost PER aanwezig. Koelwater kan uitzonderlijk - bij een lek in de koeler - met PER verontreinigd worden.</t>
  </si>
  <si>
    <t>Een aantal gevallen van historische bodemverontreiniging zijn het gevolg van PER die o.a. via contactwater in een (lekkende) riolering terechtkwam.</t>
  </si>
  <si>
    <t>De opslag van droogkuisproducten houdt een risico naar bodemverontreiniging in. De opslag gebeurt in vaten van enkele liters inhoud of in grotere recipiënten (vat of tank). Gelet op de hoge concentraties, kan bij lekken van de verpakking, een aanzienlijke bodemverontreiniging ontstaan. Hoe groter het recipiënt, hoe groter de mogelijke milieuschade.</t>
  </si>
  <si>
    <t>De afvoer van bedrijfsafvalwater kan gebeuren via de riolering. Het contactwater werd vroeger frequent zonder enige filter via de riolering verwijderd. Bij lekken of andere gebreken van de bedrijfs- of openbare riolering onstaat een groot gevaar op bodemverontreiniging. Contactwater bestaat is immers verzadigd met PER; vaak is ook een kleine hoeveelheid niet opgelost PER aanwezig. Koelwater kan uitzonderlijk - bij een lek in de koeler - met PER verontreinigd worden.</t>
  </si>
  <si>
    <t>Bij de afbraak van de oude en het plaatsen van de nieuwe machine kunnen vloeistoffen lekken en zo een risico vormen voor bodemverontreiniging.</t>
  </si>
  <si>
    <t>Indien het management en het personeel onvoldoende kennis heeft inzake het omgaan met calamiteiten, is de kans op potentiële bodemverontreiniging groter.</t>
  </si>
  <si>
    <t>Weinig of geen inzicht in de mogelijke gevaren en risico's ten gevolge van het uitoefenen van droogkuisactiviteiten, kan leiden tot calaiteiten of sluipende risico's en gevaren. Indien het management en het personeel onvoldoende kennis heeft inzake het gebruik van machines en producten en het omgaan met calamiteiten, is de kans op potentiële bodemverontreiniging groter.</t>
  </si>
  <si>
    <t>Indien de processen niet regelmatig worden opgevolgd, bestaat de kans dat door slijtagen, lekken,… van de machine de hoeveelheid solventemissie stijgt, waardoor een potentieel gevaar en risico kan ontstaan naar bodemverontreiniging toe.</t>
  </si>
  <si>
    <t>Solventafval in vaten van max 200 l</t>
  </si>
  <si>
    <t>Afvalstromen van verschillende oplosmiddelen niet mengen</t>
  </si>
  <si>
    <t>Opslaan boven opvangbak</t>
  </si>
  <si>
    <t>Solventen en detergenthoudende reinigingsmiddelen apart opslaan</t>
  </si>
  <si>
    <t>Keuze opslagplaats</t>
  </si>
  <si>
    <t>Verluchting opslagplaats</t>
  </si>
  <si>
    <t>Bij het berekenen van een globale risicoscore die ontstaat door het meewegen van alle genomen (of eventueel genomen + bijkomend geplande) maatregelen, worden regelmatig dezelfde maatregelen herhaald. Deze herhalingen van een vraag die al eerder is gesteld, zijn in grijs aangegeven. Bij de omzetting naar een standaardinvultabel is het natuurlijk niet de bedoeling om die in het grijs gemarkeerde vragen nog eens te stellen en te beantwoorden.</t>
  </si>
  <si>
    <t>De recipiënten met oplosmiddel op ten minste twee meter afstand plaatsen van licht ontvlambare stoffen en apparatuur met een oppervlaktetemperatuur hoger dan 150 °C, tenzij tussen de recipiënten en de licht ontvlambare stoffen of apparatuur met een oppervlaktetemperatuur hoger dan 150 °C een brandwerende scheidingswand aanwezig is of tenzij ze zich in een brandwerende kast of kist bevinden (Vlarem II, art. 5.41.2.5)</t>
  </si>
  <si>
    <t>De verhouding tussen de grondstoffenvoorraad en hoeveelheid afvalstoffen enerzijds en de frequentie van levering van producten en ophaling van afvalsoffen anderzijds dient optimaal te zijn, zodat het globale risico en gevaar minimaal is.</t>
  </si>
  <si>
    <t>Het verwijderen van solventhoudende afvalstoffen, waaronder het contactwater, dient te gebeuren via erkende ophalers en verwerkers.</t>
  </si>
  <si>
    <t>Indien van toepassing: het gebruikte koelwater opvangen en gebruiken voor andere processen in het bedrijf (bijvoorbeeld natwassen).</t>
  </si>
  <si>
    <t>Indien nog gebruikt wordt gemaakt van het eerste systeem (koelwater): overschakelen op het tweede systeem (diepkoelaggregaat).</t>
  </si>
  <si>
    <t>Prev.</t>
  </si>
  <si>
    <t>Inkuiping</t>
  </si>
  <si>
    <t>De recipiënten voor oplosmiddelhoudende grond- en afvalstoffen worden gescheiden opgeslagen van alle voorraden van reinigingsversterkers, zepen, detacheer- en impregneermiddelen. Op die manier wordt vermeden dat bij en eventueel lek naar de bodem de oplosbaarheid van oplosmiddelen sterk verhoogd wordt in het geval van een simultaan vrijkomen met detergenthoudende producten.</t>
  </si>
  <si>
    <t>Synergie met andere risicos</t>
  </si>
  <si>
    <t>Zie ook: Alge3</t>
  </si>
  <si>
    <t>Alternatieve uitvoeringsvorm</t>
  </si>
  <si>
    <t xml:space="preserve">Bij de inventarisatie kunnen ook bepaalde risicoverhogende punten naar boven komen. Bij droogkuis is een concreet voorbeeld het gezamenlijk opslaan van ontvlambare producten en PER. De aanwezigheid van de ontvlambare producten zorgt er voor dat het risico op vrijstellen van PER toeneemt. Immers bij brand van de ontvlambare producten is er een relatief grote kans op een PER-vrijstelling. Gezamenlijke opslag zorgt dus voor een hoger risico. Het niet nemen van de maatregel "gescheiden opslaan" zorgt dus voor een verhoging van het risico 100 -&gt; b.v. 200%. </t>
  </si>
  <si>
    <t>a</t>
  </si>
  <si>
    <t>b</t>
  </si>
  <si>
    <t>Het contactwater over een actief-koolfilter naar de riolering sturen. Deze actief-koolfilter dient regelmatig vervangen te worden (afhankelijk van de capaciteit van de machine)</t>
  </si>
  <si>
    <t>Geen directe verbinding met de riolering</t>
  </si>
  <si>
    <t xml:space="preserve">De opslag van droogkuisproducten gebeurt gescheiden van de opslag van detergenten en van brandbare producten. </t>
  </si>
  <si>
    <t>Het risico op calamiteiten kan sterk verminderd worden door gebruik te maken van gestandaardiseerde recipiënten die zeer sterk zijn uitgevoerd en die voorzien zijn van automatische afsluiters op de tanks zelf en op de slangen waarmee de recipiënten op de machine worden aangesloten (Type SafeTainer).</t>
  </si>
  <si>
    <t>Opslag in beveiligde container - aansluiting via leidingen en niet door overgieten</t>
  </si>
  <si>
    <t>Invalshoek</t>
  </si>
  <si>
    <t>PM 6</t>
  </si>
  <si>
    <t>PM 7</t>
  </si>
  <si>
    <t>PM 8</t>
  </si>
  <si>
    <t>PM 9</t>
  </si>
  <si>
    <t>PM 10</t>
  </si>
  <si>
    <t>PM 11</t>
  </si>
  <si>
    <t>PM 12</t>
  </si>
  <si>
    <t>scoretabel 2</t>
  </si>
  <si>
    <t>scoretabel 3</t>
  </si>
  <si>
    <t>scoretabel 4</t>
  </si>
  <si>
    <t>scoretabel 5</t>
  </si>
  <si>
    <t>Scoretabel 7</t>
  </si>
  <si>
    <t>Scoretabel 6</t>
  </si>
  <si>
    <t>Scoretabel 5</t>
  </si>
  <si>
    <t>Scoretabel 4</t>
  </si>
  <si>
    <t>Scoretabel 3</t>
  </si>
  <si>
    <t>Scoretabel 2</t>
  </si>
  <si>
    <t>Scoretabel 1</t>
  </si>
  <si>
    <t>Alle machines, met inbegrip van de leidingen en elke afvoer van residuen zijn van het volledig gesloten type. Ze zijn uitgerust met alle nodige systemen voor oplosmiddelrecuperatie. Deze systemen zijn op een onverplaatsbare wijze geïntegreerd om automatisch elke verbinding te vermijden tussen de omringende lucht van de werkplaats en de binnenzijde van de machine tijdens alle fasen van de reiniging (Vlarem II, Art. 5.41.2.2.§ 1)</t>
  </si>
  <si>
    <t>de machines moeten uitgerust zijn met: 
een diepkoelsysteem en een actief koolfilter, die de resterende lucht in de reinigingstrommel op het einde van de droogcyclus reinigt, zodat de concentratie aan tetrachlooretheen, direct boven pas gelost textiel, maximaal 240 mg/m3 bedraagt. De actief koolfilter moet zo vaak vervangen of geregenereerd worden dat de goede werking daarvan is gegarandeerd (Vlarem II, Art. 5.41.2.2.§ 2)</t>
  </si>
  <si>
    <t>Zie werkblad Blanco Tool</t>
  </si>
  <si>
    <t>In de normale gebruiksvorm zijn alleen de velden zichtbaar die effectief moeten ingevuld worden of die een eindresultaat geven in de vorm van het restrisico voor elk te onderzoeken risico. Door verborgen kolommen en rijen terug zichtbaar te maken, kan men alle percentages en scoretabellen terug zichtbaar maken.</t>
  </si>
  <si>
    <t>In de twee werkbladen voorbeeld is het restrisico berekend voor een bestaand bedrijf en voor datzelfde bedrijf met een aantal bijkomende geplande maatregelen.</t>
  </si>
  <si>
    <t>5.</t>
  </si>
  <si>
    <t>Overzichtstabellen</t>
  </si>
  <si>
    <t>Groeperen</t>
  </si>
  <si>
    <t>De resultaten van de groepeerde preventiemaatregelen. Ze zijn nog niet geordend of genummerd zoals in de tool. De tabel kan nuttig zijn in het geval van interpretatieproblemen.</t>
  </si>
  <si>
    <t>Weging risico</t>
  </si>
  <si>
    <t>In deze tabel wordt per risico het gewicht van het onbeheerde risico gegeven.</t>
  </si>
  <si>
    <t>PMs droogkuis</t>
  </si>
  <si>
    <t>Dit is een overzicht van alle preventieve maatregelen (PM).</t>
  </si>
  <si>
    <t>Goten of afvoerputten in ruimtes waarin zich textielreinigingsmachines bevinden hermetisch afsluiten tijdens de droogreinigingsactiviteiten (Vlarem II, Art. 5.41.2.4.§ 1)</t>
  </si>
  <si>
    <t>De machines mogen geen directe verbinding met de riolering hebben (Vlarem II, Art. 5.41.2.2.
§ 2)</t>
  </si>
  <si>
    <t>Leidingen die tetrachlooretheendampen kunnen bevatten, moeten gasdicht zijn uitgevoerd en van een materiaal zijn dat bestand is tegen tetrachlooretheendampen. (Vlarem II, Art. 5.41.2.4.§ 2)</t>
  </si>
  <si>
    <t>Elke reinigingsmachine heeft een opvangbak die hittebestendig, onbrandbaar en geschikt is voor de opvang van het oplosmiddel. Het volume van deze opvangbak moet minstens gelijk zijn aan de helft van de inhoud van de reservoirs of aan de inhoud van het grootste reservoir, als de inhoud van het grootste reservoir groter is dan de helft van de inhoud van alle reservoirs. Deze opvangbak moet duidelijk afhellen naar een goed zichtbare plaats, zodat een visuele controle van mogelijk uitgelopen oplosmiddel steeds mogelijk is. De opvangbak moet ook een druipzone voor de machine en een behandelingsruimte achter de machine omvatten. De behandelingsruimte achter de machine moet voldoende groot zijn zodat alle in gebruik zijnde hulpmiddelen en recipiënten voor contactwater erin opgesteld kunnen worden. (Vlarem II, Art. 5.41.2.4.§ 3)</t>
  </si>
  <si>
    <t>De machines mogen uitsluitend met een sleutel in werking gesteld worden door de uitbater. (Exploitatievoorwaarden voor chemische textielreiniging met solventen - Publicatie voor de Brusselse ondernemingen)</t>
  </si>
  <si>
    <t>De machines moeten conform de internationale norm ISO 8232 zijn. Het gelijkvormigheidsattest moet ter plaatse ter beschikking blijven van de ambtenaren die met het toezicht belast zijn. (Exploitatievoorwaarden voor chemische textielreiniging met solventen - Publicatie voor de Brusselse ondernemingen)</t>
  </si>
  <si>
    <t>De blootstelling van personen aan dampen van gehalogeneerde solventen
dient voortdurend op het laagst mogelijke niveau te worden gehouden (Exploitatievoorwaarden voor chemische textielreiniging met solventen - Publicatie voor de Brusselse ondernemingen)</t>
  </si>
  <si>
    <t>De intrinsieke reinigingscapaciteiten van KWS zijn echter minder dan die van PER. Een voordeel hiervan is wel dat KWS ook minder agressief voor textiel is en daarom een goed alternatief is voor R113, een CFK dat gebruikt werd voor het reinigen van fragielere kledingstukken zoals bijvoorbeeld leder. KWS kunnen niet gebruikt worden in de klassieke PER-reinigingsmachines. KWS zijn ontplofbaar en kunnen dus ongevallen veroorzaken. Commerciële KWS-reinigingsmachines hebben hiertoe één of meer van de volgende voorzieningen: inertisering met bijvoorbeeld stikstof, gebruik van vacuüm of een voldoende luchtdoorvoer. Het gebruik van CFK en HCFK is ook niet als alternatief te beschouwen omdat deze onder andere vanuit het standpunt van ozonafbraak of extreme broeikasgaswerking ongewenst zijn.</t>
  </si>
  <si>
    <t>Proc5</t>
  </si>
  <si>
    <t>Eén opvangbak onder de hele machine en alle hulpappatuur</t>
  </si>
  <si>
    <t xml:space="preserve">Het risico wordt verlaagd indien enkel producten ingezet worden die lichter zijn dan water zoals het geval bij inzet van enkel koolwaterstoffen of van siliconen afgeleide solventen (Greenearth).  </t>
  </si>
  <si>
    <t>Door oplosmiddel vervuild vloeibaar en vast afval in een luchtdichte, onbrandbare en oplosmiddelbestendige recipiënt van maximaal 200 liter opslaan (Vlarem II, art. 5.41.2.5)</t>
  </si>
  <si>
    <t>via bovengrondse leidingen en buffertanks</t>
  </si>
  <si>
    <t>via ondergrondse leidingen en/of buffertanks</t>
  </si>
  <si>
    <t>Opslag op &gt; 2m afstand tot warmtebronnen en ontvlambare stoffen of hiervan gescheiden door brandwerende scheidingswand</t>
  </si>
  <si>
    <t>Verder worden alle risicobeperkende maatregelen geordend en toegekend aan hetzij plaats, processtap of algemeen. Hierbij wordt rekening gehouden met de erna volgende stap, namelijk om zo efficiënt mogelijk kengetallen toe te kennen. Maatregelen die volledig cumulerend kunnen zijn worden apart gehouden. Maatregelen van het type of / of, uitvoeringsalternatieven, ... worden in één categorie samen genomen.</t>
  </si>
  <si>
    <t>zie ook alge…</t>
  </si>
  <si>
    <t>zie proc.</t>
  </si>
  <si>
    <t>Zie alge</t>
  </si>
  <si>
    <t>Alternatief</t>
  </si>
  <si>
    <t>Analoge Vlarem voorwaarde, zie ?</t>
  </si>
  <si>
    <t>Lucht, niet relevant in de praktijk</t>
  </si>
  <si>
    <t>Bodem, zie proc</t>
  </si>
  <si>
    <t xml:space="preserve">In dit concrete geval is gekozen om alles te groeperen rond de processtappen + opslag. Met andere woorden het "kleinste gemeen veelvoud" van processtapen en plaats. Omdat een aantal processen verder sterk gelijkaardig zijn (in dit concrete geval de voorbehandeling en de nabehandeling) zijn deze ook samengenomen. </t>
  </si>
  <si>
    <t>Leveren van gevaarlijke producten/ophalen van afvalstoffen</t>
  </si>
  <si>
    <t>Het laden en lossen en verplaatsen van recipiënten met reinigingsproducten gebeurt hetzij door de eigenaar, hetzij door opgeleid personeel, hetzij door een personeelslid van de leverancier ; in elk geval heeft deze persoon een opleiding gehad over de risico's van deze producten en over de te nemen acties in geval van lekken of morsen. Het laden en afvoeren van afvalstoffen gebeurt door een erkende ophaler. De afvalstoffen worden opgeslagen en afvervoerd in vaten die door de erkende verwerker zijn goedgekeurd.</t>
  </si>
  <si>
    <t>Controle, reinigen, onderhoud en herstelling van de machine</t>
  </si>
  <si>
    <t>Vervangen van de actief-koolfilter</t>
  </si>
  <si>
    <t>Geen</t>
  </si>
  <si>
    <t>Geen specifieke risico's naar bodem</t>
  </si>
  <si>
    <t>Opslag</t>
  </si>
  <si>
    <t>Voor- en nabehandelingstafel</t>
  </si>
  <si>
    <t>Reinigingsmachine</t>
  </si>
  <si>
    <t>Riolering (bedrijfsafvalwater/koelwater)</t>
  </si>
  <si>
    <t>Onderhoud machines en lokalen</t>
  </si>
  <si>
    <t>Monitoring proces (in- en output)</t>
  </si>
  <si>
    <t>Management, Good houskeeping en Opleiding</t>
  </si>
  <si>
    <t>Calamiteiten</t>
  </si>
  <si>
    <t>Vervangen van de machine</t>
  </si>
  <si>
    <t>Bij de afbraak van de oude en het plaatsen van de nieuwe machine dient de externe firma deskundig te werken.</t>
  </si>
  <si>
    <t>Item 1</t>
  </si>
  <si>
    <t>Item 2</t>
  </si>
  <si>
    <t>Item 3</t>
  </si>
  <si>
    <t>Item 4</t>
  </si>
  <si>
    <t>Item 5</t>
  </si>
  <si>
    <t>Item 6</t>
  </si>
  <si>
    <t>Set van preventieve maatregelen</t>
  </si>
  <si>
    <t>Voorbeeld</t>
  </si>
  <si>
    <t>Globale risicofactor</t>
  </si>
  <si>
    <t>Restrisico</t>
  </si>
  <si>
    <t>PM 1</t>
  </si>
  <si>
    <t>PM 2</t>
  </si>
  <si>
    <t>PM 3</t>
  </si>
  <si>
    <t>PM 4</t>
  </si>
  <si>
    <t>PM 5</t>
  </si>
  <si>
    <t>scoretabel 1</t>
  </si>
  <si>
    <t>zie</t>
  </si>
  <si>
    <t>(Exploitatievoorwaarden voor chemische textielreiniging met solventen - Publicatie voor de Brusselse ondernemingen)</t>
  </si>
  <si>
    <t>De solventen opslaan in een tank of een vat dat rechtstreeks op de machine aangesloten is via een systeem dat het veilig overbrengen van het solvent waarborgt (vb: safetainer). Het nemen van maatregelen om te voorkomen dat het vat of de tank zou overlopen bij het vullen. Dit vullen dient te gebueren via een buizensysteem voorzien van een hermetisch afgesloten kraan. De tank en het vat moeten onmiddellijk gesloten worden na het vullen. (Exploitatievoorwaarden voor chemische textielreiniging met solventen - Publicatie voor de Brusselse ondernemingen)</t>
  </si>
  <si>
    <t xml:space="preserve">Ja </t>
  </si>
  <si>
    <t>Alle onderhoudwerken (zowel het periodiek b.v. jaarlijks onderhoud als onderhoudswerken na een panne) dienen deskundig uitgevoerd te worden door hiertoe opgeleid personeel of firma. Het periodiek onderhoud dient te gebeuren aan de hand van een checklist (aandachtspunten, kritische punten, opmerkingen/bemerkingen vorige controle,...)</t>
  </si>
  <si>
    <t>Onderhoudwerken gebeuren door de leverancier van de machine of door firma met gelijkwaardige deskundigheid</t>
  </si>
  <si>
    <t>Wekelijks moet elke reinigingsmachine op lekken gecontroleerd worden. Die kwalitatieve meting moet gebeuren met een draagbaar elektronisch lekdetectietoestel. (Vlarem II, art. 5.41.2.3§2)</t>
  </si>
  <si>
    <t>Minstens om het jaar moet elke reinigingsmachine een grondige onderhouds- en controlebeurt ondergaan zodat de goede werking van de machines steeds is gegarandeerd. (Vlarem II, art. 5.41.2.3§1)</t>
  </si>
  <si>
    <t>De monitoring van de processen van elke machine is een methode om te controleren of de machine in kwestie voldoet aan de gestelde milieu-eisen en geeft een indicatie ivm de hoeveelheid solventemissie en de hoeveelheid afvalstoffen. Deze plicht kan door de exploitant zelf worden uitgevoerd of -al dan niet verplicht- worden uitbesteed aan een externe gespecialiseerde firma of deskundige.</t>
  </si>
  <si>
    <t xml:space="preserve">Het eerste doel van het groeperen is om alle dubbelvermeldingen weg te werken en om alle risico's en verspreidingsroutes die geen of geen relevante bijdrage naar bodem hebben of kunnen hebben, weg te laten. </t>
  </si>
  <si>
    <t>Illustratie met een voorbeeld.</t>
  </si>
  <si>
    <t>4.</t>
  </si>
  <si>
    <t xml:space="preserve">Vlekken die niet of slechts gedeeltelijk met het droogkuissolvent verwijderd kunnen worden (bijvoorbeeld “magere” vlekken) en die gefixeerd zouden kunnen worden tijdens het droogkuisproces worden vooraf met speciale oplosmiddelen behandeld. Deze voorontvlekking gebeurt met de hand (detacheerborstels, sponsen, ...) of mechanisch (lucht/stoompistool). </t>
  </si>
  <si>
    <t>Domein</t>
  </si>
  <si>
    <t>Geringe emissie van oplosmiddelen naar de werkruimte en in de atmosfeer.</t>
  </si>
  <si>
    <t>Lucht</t>
  </si>
  <si>
    <t xml:space="preserve">Geringe morsverliezen bij gebruik van oplosmiddelen, waardoor niettemin een beperkt risico op bodemverontreiniging.                                                                                                        </t>
  </si>
  <si>
    <t>Regenereerbare filters</t>
  </si>
  <si>
    <t>Afval, afvalwater</t>
  </si>
  <si>
    <t>Bodem, lucht</t>
  </si>
  <si>
    <t>Tijdens reinigingscyclus de machine openen.</t>
  </si>
  <si>
    <t>Afval</t>
  </si>
  <si>
    <t>Actievekoolfilter voor het reinigen van de lucht in de trommel op het einde van de droogcyclus
Deze actievekoolfilter reinigt de resterende lucht in de reinigingstrommel op het einde van de droogcyclus voordat de machine geopend en ontladen wordt. Bij het ontladen van de machine zal de PER-concentratie van de lucht die uit de trommel komt lager liggen dan 240 mg/m³. Een dergelijke actievekoolfilter wordt in combinatie met een diepkoeling gebruikt.
Problemen met regeneratie doen zich hier minder voor gezien de hoeveelheden geadsorbeerd PER veel kleiner zijn.</t>
  </si>
  <si>
    <t>Bodem</t>
  </si>
  <si>
    <t>Ervaringen</t>
  </si>
  <si>
    <t>Preventieve maatregelen</t>
  </si>
  <si>
    <t xml:space="preserve">Bij het toepassen van voor- en na-ontvlekking kunnen kleine hoeveelheden solvents in de
lucht komen. Deze solvents kunnen afgezogen worden door een ventilatiesysteem (in combinatie met een actief-koolfilter) en in de buitenlucht gebracht. </t>
  </si>
  <si>
    <t>Zo zullen bijvoorbeeld blootstellings-routes beschreven worden die uiteindelijk naar bodem toe niet relevant zijn. Zeer concreet voor de droogkuissector kan vrijkomende PER zich ook verspreiden via de lucht en geeft dergelijke verspreiding via de lucht geen of toch geen relevante bijdrage naar PER in de bodem. In dit concrete geval kunnen dus mogelijke risico's die zich vertalen in een emissie alleen naar lucht, weggelaten worden. Dit is geen algemene regel: in een aantal sectoren is de emissie via lucht wel relevant naar bodem toe (b.v. emissie van metaalstof) of heeft de nageschakelde afgasreinigingsapparatuur een mogelijk risico naar bodem (b.v. gaswasser, condensatietoestel, demister, ...).</t>
  </si>
  <si>
    <t>Ook komen heel veel preventieve maatregelen meerdere keren voor.</t>
  </si>
  <si>
    <t>Deze redundantie wordt bewust ingebouwd. Alleen door in de eerste fase zeer systematisch en ook een stuk te breed te werken, kan men garanderen dat men alle relevante risico's in kaart heeft gebracht.</t>
  </si>
  <si>
    <t>2.</t>
  </si>
  <si>
    <t>Groeperen op een logische manier.</t>
  </si>
  <si>
    <t>3.</t>
  </si>
  <si>
    <t>Ken kengetallen toe.</t>
  </si>
  <si>
    <t xml:space="preserve">Iedere preventieve maatregel is ook een kengetal toegekend in de vorm van een %. Dit % is een ruwe inschatting van de mate waarmee het risico dat de volledige hoeveelheid onderzochte polluent kan vrijkomen, afneemt. De afname kan slaan op een kleinere hoeveelheid, een kleinere frequentie of statistische kans van vrijkomen of een combinatie van beide. </t>
  </si>
  <si>
    <t>Het eigenlijke reinigen is een proces dat relatief weinig effecten heeft op het milieu. Het met vuil beladen solvent wordt geleid naar de speldenvanger en de filter. Bij de herwinning van het oplosmiddel wordt solventhoudend afvalwater (contactwater) en afval (vooral destillatieslijk) geproduceerd. Afvalwater geloosd in versleten afvalwaterpijpen kan bodemverontreiniging doen ontstaan. PER in het destillatieslijk kan grotendeels herwonnen worden.</t>
  </si>
  <si>
    <t>Verschillende kleinere opvangbakken die achteraf onder een bestaande machine zijn aangebracht  en die samen over quasi de volledige oppervlakte van de machine en de hulpapparatuur lekken opvangen</t>
  </si>
  <si>
    <t>PM 3 -   PM 6</t>
  </si>
  <si>
    <t>Risicogetal</t>
  </si>
  <si>
    <t>Risicoverminde-ringsfactor PM</t>
  </si>
  <si>
    <t>Globale restrisicofactor</t>
  </si>
  <si>
    <t>c</t>
  </si>
  <si>
    <t>d</t>
  </si>
  <si>
    <t>Maatregel PM 21 + Opslaan boven opvangbak</t>
  </si>
  <si>
    <t>PM nr</t>
  </si>
  <si>
    <t>Omschrijving preventieve maatregelen</t>
  </si>
  <si>
    <t>Antwoord in te vullen</t>
  </si>
  <si>
    <t xml:space="preserve">Regelmatig volgende zaken controleren en tijdig vervangen/reviseren (indien van toepassing): </t>
  </si>
  <si>
    <t>* de luchtschacht</t>
  </si>
  <si>
    <t>* alle flenspakkingen</t>
  </si>
  <si>
    <t>* alle afsluiters</t>
  </si>
  <si>
    <t>* alle luchtcilinders</t>
  </si>
  <si>
    <t>* alle rubberen verbindingen</t>
  </si>
  <si>
    <t>* filtermantel met koeling</t>
  </si>
  <si>
    <t>* twee stoomventielen (voor de destillatie en de droogeenheid)</t>
  </si>
  <si>
    <t>* koelwaterleidingnet</t>
  </si>
  <si>
    <t>* eventueel vuildoorlatende filterkaarsen</t>
  </si>
  <si>
    <t>* wasmotor</t>
  </si>
  <si>
    <t>* centrifugemotor</t>
  </si>
  <si>
    <t>* programmakaartmotor</t>
  </si>
  <si>
    <t>* ventilatormotor</t>
  </si>
  <si>
    <t>Het omgaan met calamiteiten dient te gebeuren op een vooraf beschreven en gestandardiseerde manier. Het personeel en het management dient op de hoogte te zijn van deze procedures.</t>
  </si>
  <si>
    <t>Logboek                                                                                                                                                           De exploitant registreert alle storingen, calamiteiten en de resultaten van de voorgeschreven metingen en controles van de machines, zoals bepaald in dit artikel, in een logboek. Dat logboek wordt voor een periode van minstens 5 jaar na de laatste registratie bewaard en ter inzage van de toezichthoudende overheid gehouden. (Vlarem II, art. 5.41.2.3§3)</t>
  </si>
  <si>
    <t>Het vervangen van gechloreerde organische solventen door niet-gechloreerde solventen (vb: KWS) of andere producten, zoals siliconenverbindengen (vb: Greenearth) impliceert het plaatsen van een nieuwe machine.</t>
  </si>
  <si>
    <t>De restvloeistoffen in de oude machine dienen vooraf verwijderd te worden.</t>
  </si>
  <si>
    <t>De oude recipiënten dienen op een correcte wijze afgevoerd of ontkoppeld te worden.</t>
  </si>
  <si>
    <t>De totale emissie van solventen mag niet meer bedragen dan 20 g/kg textiel of gereinigd materiaal. Dit totaal is de som van de beginvoorraad van solventen en van de hoeveelheid solventen geleverd tijdens de maand, waarvan men de eindvoorraad en de hoeveelheid solventen die verwijderd worden met het afval dat door een erkend ophaler ingezameld wordt (forfaitair bepaald op 23 g/kg textiel of gereinigd materiaal), aftrekt. De emissie van de solventen moet maandelijks berekend en in register opgetekend worden. (Exploitatievoorwaarden voor chemische textielreiniging met solventen - Publicatie voor de Brusselse ondernemingen)</t>
  </si>
  <si>
    <t>Op de hoogte blijven van de laatste technologische ontwikkelingen (via vakbladen, bijscholing, leveranciers, constructeurs,…)</t>
  </si>
  <si>
    <t>Regelmatig controleren of de vloeistofdichte vloer, de inkuiping, de leidingen,… intact zijn.</t>
  </si>
  <si>
    <t xml:space="preserve">Het vervangen van gechloreerde organische solventen door niet-gechloreerde solventen (vb: KWS) of andere producten, zoals siliconenverbindengen (vb: Greenearth), voornamelijk uit gezondheidsoverwegingen. Gechloreerde organische producten zoals PER zijn mogelijk carcinogeen voor de mens en vanuit het “voorzichtigheidsprincipe” dient hun gebruik zoveel mogelijke vermeden te worden. Eén van de mogelijkheden hiertoe is het vervangen door niet gechloreerde organische solventen. Het is technisch mogelijk textiel te reinigen met niet-gechloreerde koolwaterstoffen. De mengsels die hiervoor thans op de markt zijn bestaan uit iso-, n- en gedearomatiseerde paraffines en worden in de sector met de afkorting KWS genoemd. </t>
  </si>
  <si>
    <t>De verwarming van lokalen waarin textiel wordt opgeslagen mag niet geschieden met toestellen die een vlam of gloeiend oppervlak vertonen (Vlarem II, art. 5.41.1.3§2)</t>
  </si>
  <si>
    <t>Het opslaan van andere brandbare, ontvlambare of ontplofbare stoffen in lokalen waarin textiel of textielwaren worden opgeslagen is verboden (Vlarem II, art. 5.41.1.3§3)</t>
  </si>
  <si>
    <t>Leidingen die tetrachlooretheendampen kunnen bevatten, moeten gasdicht zijn uitgevoerd en van een materiaal zijn dat bestand is tegen tetrachlooretheendampen. (Vlarem II, art. 5.41.2.4§2)</t>
  </si>
  <si>
    <t>De machines mogen geen directe verbinding met de riolering hebben (Vlarem II, art. 5.41.2.2§2)</t>
  </si>
  <si>
    <t>De lokalen die toegankelijk zijn voor het publiek moeten goed verlucht zijn om gezondheidsrisico’s te vermijden. De ogenblikkelijke concentratie aan gehalogeneerde solventen mag nooit meer dan 50 ppm bedragen en de gemiddelde concentratie niet meer dan 20 ppm/u. Buiten de lokalen van de inrichting mag de concentratie aan gehalogeneerde solventen niet meer dan 10 ppm bedragen. (Exploitatievoorwaarden voor chemische textielreiniging met solventen - Publicatie voor de Brusselse ondernemingen)</t>
  </si>
  <si>
    <t>Het regelmatig onderhouden van machines en lokalen is een must inzake preventie van bodemverontreiniging. Indien lekken vroegtijdig worden opgespoord, is de kans op bodemverontreiniging kleiner tot zelfs niet bestaand.</t>
  </si>
  <si>
    <t>Indien machines en lokalen niet frequent worden onderhouden, kunnen eventuele lekken niet (tijdig) worden opgespoord, waardoor er een significant risico kan ontstaan naar bodemverontreiniging toe.</t>
  </si>
  <si>
    <t>De machine kan door ademen en lekken een risico vormen naar bodemverontreiniging toe. Er dient een onderscheid gemaakt te worden tussen oude(re) en nieuwe(re)machines. Bij oude(re) machines is het risico en het gevaar op bodemverontreiniging veel groter, wegens het minder aanwezig zijn van preventieve maatregelen.</t>
  </si>
  <si>
    <t>Bij oudere machines met een open luchtuitlaat zonder preventieve voorzieningen wordt een grote hoeveelheid solvent in de lucht geblazen. Indien deze gassen condenseren, bestaat er via deze weg een gevaar op bodemverontreiniging.</t>
  </si>
  <si>
    <t>Geen directe verbinding tussen reinigingsmachine en riolering om bij accidenteel overkoken van PER of andere lekken bodemverontreiniging te vermijden. Om dezelfde reden zijn schrobputjes en dergelijke bij voorkeur afgesloten tijdens de reiniging.</t>
  </si>
  <si>
    <t xml:space="preserve">Gelet op de beperkte hoeveelheid te gebruiken ontvlekkingsmiddel en de verdunde vorm, zijn de risico's naar bodemverontreiniging heel beperkt. </t>
  </si>
  <si>
    <t xml:space="preserve">Geringe morsverliezen bij gebruik van oplosmiddelen, waardoor zeer beperkt risico op bodemverontreiniging.                                                                                                        </t>
  </si>
  <si>
    <t>Klassiek wordt de gasvormige PER uit de drooglucht teruggewonnen door condensatie in een waterkoeler. De efficiëntie hiervan is beperkt en een groot gedeelte van de PER blijft in de gasfase en wordt naar de lucht geëmitteerd. Een diepkoeling zorgt er voor dat tijdens het droogproces een groter gedeelte van het oplosmiddel door condensatie uit de drooglucht kan worden gehaald. Het gebruik van de diepkoelinstallatie maakt het ontluchten van de reinigingsmachine naar buiten toe zelfs overbodig. Een nieuwe PERmachine, die is uitgerust met een diepkoeling, vermindert het PER-verlies met 75 % tegenover een oude machine, het waterverbruik wordt met 40 % gereduceerd, het energieverbruik wordt echter verdrievoudigd (IR-Consult, 1991). Diepkoeling kan ingebouwd worden bij oude (water-gekoelde) machines. Nieuwe machines die met een diepkoeling zijn uitgerust behalen een maximaal PER-verbruik per kg droog textiel van 20 g. Na enkele jaren in werking loopt dit door slijtage op tot maximaal 30 g/kg.</t>
  </si>
  <si>
    <t>Diepkoeling</t>
  </si>
  <si>
    <t>Lucht, Water</t>
  </si>
  <si>
    <t>Zie ook Plaa4</t>
  </si>
  <si>
    <t>Zuiveren van de drooglucht door adsorptie aan actievekool</t>
  </si>
  <si>
    <t>Bij gebruik van waterkoeling kan om de emissie van PER binnen de perken te houden een actievekoolfilter geplaatst worden op de luchtuitlaat. Door regeneratie is het oplosmiddel terug te winnen. De praktijkervaringen met deze techniek zijn over het algemeen niet gunstig, onder andere omdat hoge eisen gesteld worden aan de stoom die gebruikt wordt voor de regeneratie. Deze problemen stellen zich in het bijzonder bij kleinere bedrijven.</t>
  </si>
  <si>
    <t>Actievekoolfilter in de trommel in combinatie met diepkoeling</t>
  </si>
  <si>
    <t>Dubbel waterslot</t>
  </si>
  <si>
    <t>"Milieuklep"</t>
  </si>
  <si>
    <t>Omvang grondstoffenvoorraad beperkt houden</t>
  </si>
  <si>
    <t>Safetainer</t>
  </si>
  <si>
    <t>Absorptiemateriaal bij calamiteiten</t>
  </si>
  <si>
    <t>Milieukast of brandwerende milieukast</t>
  </si>
  <si>
    <t>Afvoer hermetisch sluiten</t>
  </si>
  <si>
    <t>Vermijden dat textiel ontbrandt door contact met verwarming</t>
  </si>
  <si>
    <t>Brand, kwaliteit</t>
  </si>
  <si>
    <t>Brand</t>
  </si>
  <si>
    <t>Beheer van contactwater</t>
  </si>
  <si>
    <t>Beheer van Koelwater</t>
  </si>
  <si>
    <t>Contactwater wordt afgehaald door erkende ophaler en verwerker</t>
  </si>
  <si>
    <t>Koelwater opvangen en hergebruiken als waswater in natwasserij</t>
  </si>
  <si>
    <t>Overschakelen op diepkoelaggregaat</t>
  </si>
  <si>
    <t>Contactwater via actiefkoolfilter naar riolering sturen</t>
  </si>
  <si>
    <t>Storingen, calamiteiten, resulaten van metingen en controles bijhouden</t>
  </si>
  <si>
    <t>Bijscholing via vakbladen, beurzen, leveranciers, …</t>
  </si>
  <si>
    <t>Indien wordt omgeschakeld naar een ander reinigingsproduct: nagaan of de vloer, leidingen, inkuiping kunnen weerstaan aan het nieuw gebruikte product.</t>
  </si>
  <si>
    <t>Nieuwe machine is doorgaans een verbetering voor milieu (lucht, risico naar bodem)</t>
  </si>
  <si>
    <t>Om die reden niet verder analyseren.</t>
  </si>
  <si>
    <t>-</t>
  </si>
  <si>
    <t>Zie werkblad Groeperen</t>
  </si>
  <si>
    <t>Indien een activiteit is stopgezet op een lokatie, komt dit uiteraard overeen met een reductie van het risico tot nul. Dit triviale geval is niet uitgewerkt. Het moet dan ook gaan om een volledige stopzetting, dus inclusief verwijderen van alle solventen en afvalstoffen.</t>
  </si>
  <si>
    <t>Het resterende afvalgas van (watergekoelde) reinigingsmachines kan door een afvoerpijp naar de buitenlucht verwijderd worden. Deze afvoerpijp moet zo ontworpen zijn dat de solventconcentraties in de buurt van het bedrijf voldoende laag blijven.</t>
  </si>
  <si>
    <t>Afvoerpijp voor ontluchtingsdampen</t>
  </si>
  <si>
    <t>Wanneer de laaddeur per ongeluk gedurende de reiniging of droging geopend wordt, zou dit in een grote emissie van PER kunnen resulteren. Om dit te vermijden kunnen de reinigingsmachines worden voorzien van een laaddeurvergrendeling. Deze vergrendeling wordt pas opgeheven als de droogcyclus volledig is afgelopen of wanneer zich een defect voordoet.</t>
  </si>
  <si>
    <t>Laaddeurvergrendeling</t>
  </si>
  <si>
    <t>Zie ook Plaa3</t>
  </si>
  <si>
    <t>Met behulp van een elektronische lekdetector kunnen PER-damplekken worden opgespoord. Een dergelijk toestel herkent niet of PER, rook of een ander gas aanwezig is, maar reageert uitsluitend op het verschil in geleidbaarheid tussen lucht en het te onderzoeken gasmengsel. Indien bij vaststellen van een lek ook op korte termijn het lek hersteld wordt, vermindert dit sterk de emissies naar bodem door lekken.</t>
  </si>
  <si>
    <t>Ondanks de genomen emissiebeperkende maatregelen kunnen hoeveelheden solvent in de werkruimte terechtkomen. Een goede ventilatie kan de mogelijke nadelige gevolgen voor werknemers en klanten reduceren. Aandacht moet besteed worden aan de keuze van geluidsarme ventilatoren.</t>
  </si>
  <si>
    <t>Proc3</t>
  </si>
  <si>
    <t>Lekdetectie en reperatie</t>
  </si>
  <si>
    <t>Jaarlijks groot nazicht van reinigingsmachine</t>
  </si>
  <si>
    <t>Proc6</t>
  </si>
  <si>
    <t>Machines en bijhorende apparatuur zijn van volledig gesloten type.</t>
  </si>
  <si>
    <t>machines met diepkoelsysteem</t>
  </si>
  <si>
    <t>Automatisch afgrendelsysteem voor laaddeur en spelden- en pluizenvanger</t>
  </si>
  <si>
    <t>Vulstreep op laaddeur, oplosmiddelentanks en destillator</t>
  </si>
  <si>
    <t>Dubbele controle tegen overkoken van destillatieketel</t>
  </si>
  <si>
    <t>Regenereerbare filter</t>
  </si>
  <si>
    <t>Ruimte van machine is niet publiek toegankelijk</t>
  </si>
  <si>
    <t>Geen goten en afvoerputten aanwezig</t>
  </si>
  <si>
    <t>Herneming</t>
  </si>
  <si>
    <t>Grenswaarde voor PER op werkvloer</t>
  </si>
  <si>
    <t>Grenswaarde voor PER in aanliggende ruimtes</t>
  </si>
  <si>
    <t>Plaa3</t>
  </si>
  <si>
    <t xml:space="preserve">De machines mogen geen directe verbinding met de riolering hebben </t>
  </si>
  <si>
    <t>Leidingen zijn gas- en vloeistofdicht</t>
  </si>
  <si>
    <t>Goten en afvoerputten zijn hermetisch afgesloten</t>
  </si>
  <si>
    <t>Voldoend ruime opvangbak onder de reinigingsmachine en hulpapparatuur</t>
  </si>
  <si>
    <t>Inrichting van alle ruimtes en handelingen</t>
  </si>
  <si>
    <t>PM 20</t>
  </si>
  <si>
    <t>PM 12 - PM 13</t>
  </si>
  <si>
    <t>PM 21</t>
  </si>
  <si>
    <t>PM 22</t>
  </si>
  <si>
    <t>PM 23</t>
  </si>
  <si>
    <t>PM 24</t>
  </si>
  <si>
    <t>PM 25</t>
  </si>
  <si>
    <t>PM 26</t>
  </si>
  <si>
    <t>PM 27</t>
  </si>
  <si>
    <t>PM 28</t>
  </si>
  <si>
    <t>PM 29</t>
  </si>
  <si>
    <t>PM 30</t>
  </si>
  <si>
    <t>PM 31</t>
  </si>
  <si>
    <t>PM 32</t>
  </si>
  <si>
    <t>PM 33</t>
  </si>
  <si>
    <t>PM 34</t>
  </si>
  <si>
    <t>PM 35</t>
  </si>
  <si>
    <t>PM 36</t>
  </si>
  <si>
    <t>PM 37</t>
  </si>
  <si>
    <t>PM 38</t>
  </si>
  <si>
    <t>PM 39</t>
  </si>
  <si>
    <t>Mogelijke combinaties van de antwoorden op 4 PM's:</t>
  </si>
  <si>
    <t>Toegekende kenfactor aan de combinatie van PM's</t>
  </si>
  <si>
    <t>Resulterende kenfactor na invulling voorbeeld (%)</t>
  </si>
  <si>
    <t>Mogelijke combinaties van de antwoorden op 2 PM's:</t>
  </si>
  <si>
    <t>Mogelijke combinaties van de antwoorden op 3 PM's:</t>
  </si>
  <si>
    <t>Invulling voorbeeld ('WAAR' = gekozen combinatie PM's)</t>
  </si>
  <si>
    <t>Dubbel waterslot
Het dubbel waterslot wordt aangebracht in de ontluchtingsleiding bij watergekoelde machines. Het waterslot met de grootste weerstand wordt gebruikt om van de machine een gasdichte eenheid te maken tijdens het reinigen, drogen en ontluchten. Het tweede waterslot heeft een veel geringer weerstand en wordt gebruikt tijdens het laden en lossen van de machine, om te voorkomen dat een hoge PER-emissie naar de werkruimte ontstaat.</t>
  </si>
  <si>
    <t>Voorkomen dat de trommel wordt overvuld.</t>
  </si>
  <si>
    <t>De solventen en detergenten kunnen manueel of automatisch bijgevuld en afgelaat worden. In beide gevallen dient men voorzichtig en deskundig te werk te gaan.</t>
  </si>
  <si>
    <t>Risico-omschrijving 1</t>
  </si>
  <si>
    <t>Risico-omschrijving 2</t>
  </si>
  <si>
    <t>Risico-omschrijving 3</t>
  </si>
  <si>
    <t>Risico-omschrijving 4</t>
  </si>
  <si>
    <t>Risico-omschrijving 5</t>
  </si>
  <si>
    <t>Risico-omschrijving 6</t>
  </si>
  <si>
    <t>Risico-omschrijving 7</t>
  </si>
  <si>
    <t>Risico-omschrijving 8</t>
  </si>
  <si>
    <t>Risico-omschrijving 9</t>
  </si>
  <si>
    <t>Een “ecologische” filter is een regenereerbare filter die geen gebruik maakt van filterpoeders. Filterpoeders worden bij een normale filter op de filterschijven aangebracht om de doorvloeiopeningen kunstmatig te verkleinen. Door een filter met filterpoeders te vervangen door een “ecologische” filter, wordt de hoeveelheid destillatieresidu ongeveer met de helft verminderd. Het gebruik van een “ecologische” filter verslechtert echter sterk de reinigingskwaliteit.
Zo treedt onder andere vergrauwing op. Dit probleem kan opgelost worden door vaker de vuile PER te destilleren, in casu het toepassen van “continue destillatie”. Dit wil zeggen dat het solvent gedurende het gehele reinigingsproces gedestilleerd wordt, terwijl dit normaal enkel op het einde van de reinigingscyclus gebeurt. Een continue destillatie heeft ongeveer een verdubbeling van het water- en elektriciteitsverbruik tot gevolg.
Zelfs met toepassing van continue destillatie zal toch nog een verslechtering van de reinigingskwaliteit optreden.</t>
  </si>
  <si>
    <t>Ecologische filter</t>
  </si>
  <si>
    <t>Afvalstromen van verschillende oplosmiddelen niet mengen (Vlarem II, art. 5.41.2.5)</t>
  </si>
  <si>
    <t>De recipiënten voor oplosmiddelhoudende grond- en afvalstoffen evenals alle voorraden van reinigingsversterkers, zepen, detacheer- en impregneermiddelen boven of in een opvangbak plaatsen. Het volume van deze opvangbak moet hierbij minstens gelijk zijn aan de helft van de opgeslagen hoeveelheid oplosmiddel of de inhoud van de grootste recipiënt, als de inhoud van de grootste recipiënt groter is dan de helft van de totale opgeslagen hoeveelheid. Deze opvangbak moet vloeistofdicht, hittebestendig, onbrandbaar en geschikt zijn voor de opvang van de opgeslagen stoffen. Hij moet ook sterk genoeg zijn om weerstand te bieden aan de vloeistofdruk die als gevolg van een lek kan optreden (Vlarem II, art. 5.41.2.5)</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</si>
</sst>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EUR&quot;;\-#,##0\ &quot;EUR&quot;"/>
    <numFmt numFmtId="173" formatCode="#,##0\ &quot;EUR&quot;;[Red]\-#,##0\ &quot;EUR&quot;"/>
    <numFmt numFmtId="174" formatCode="#,##0.00\ &quot;EUR&quot;;\-#,##0.00\ &quot;EUR&quot;"/>
    <numFmt numFmtId="175" formatCode="#,##0.00\ &quot;EUR&quot;;[Red]\-#,##0.00\ &quot;EUR&quot;"/>
    <numFmt numFmtId="176" formatCode="_-* #,##0\ &quot;EUR&quot;_-;\-* #,##0\ &quot;EUR&quot;_-;_-* &quot;-&quot;\ &quot;EUR&quot;_-;_-@_-"/>
    <numFmt numFmtId="177" formatCode="_-* #,##0\ _E_U_R_-;\-* #,##0\ _E_U_R_-;_-* &quot;-&quot;\ _E_U_R_-;_-@_-"/>
    <numFmt numFmtId="178" formatCode="_-* #,##0.00\ &quot;EUR&quot;_-;\-* #,##0.00\ &quot;EUR&quot;_-;_-* &quot;-&quot;??\ &quot;EUR&quot;_-;_-@_-"/>
    <numFmt numFmtId="179" formatCode="_-* #,##0.00\ _E_U_R_-;\-* #,##0.00\ _E_U_R_-;_-* &quot;-&quot;??\ _E_U_R_-;_-@_-"/>
    <numFmt numFmtId="180" formatCode="&quot;Yes&quot;;&quot;Yes&quot;;&quot;No&quot;"/>
    <numFmt numFmtId="181" formatCode="&quot;True&quot;;&quot;True&quot;;&quot;False&quot;"/>
    <numFmt numFmtId="182" formatCode="&quot;On&quot;;&quot;On&quot;;&quot;Off&quot;"/>
    <numFmt numFmtId="183" formatCode="[$€-2]\ #,##0.00_);[Red]\([$€-2]\ #,##0.00\)"/>
    <numFmt numFmtId="184" formatCode="0.0000"/>
    <numFmt numFmtId="185" formatCode="0.000"/>
    <numFmt numFmtId="186" formatCode="0.0000%"/>
    <numFmt numFmtId="187" formatCode="0.000%"/>
  </numFmts>
  <fonts count="48">
    <font>
      <sz val="10"/>
      <name val="Arial"/>
      <family val="0"/>
    </font>
    <font>
      <b/>
      <sz val="20"/>
      <name val="Arial"/>
      <family val="2"/>
    </font>
    <font>
      <sz val="16"/>
      <name val="Arial"/>
      <family val="0"/>
    </font>
    <font>
      <b/>
      <sz val="16"/>
      <name val="Arial"/>
      <family val="2"/>
    </font>
    <font>
      <u val="single"/>
      <sz val="8.5"/>
      <color indexed="36"/>
      <name val="Arial"/>
      <family val="0"/>
    </font>
    <font>
      <u val="single"/>
      <sz val="8.5"/>
      <color indexed="12"/>
      <name val="Arial"/>
      <family val="0"/>
    </font>
    <font>
      <b/>
      <i/>
      <sz val="10"/>
      <name val="Arial"/>
      <family val="2"/>
    </font>
    <font>
      <i/>
      <sz val="10"/>
      <name val="Arial"/>
      <family val="2"/>
    </font>
    <font>
      <b/>
      <sz val="10"/>
      <name val="Arial"/>
      <family val="2"/>
    </font>
    <font>
      <sz val="10"/>
      <color indexed="55"/>
      <name val="Arial"/>
      <family val="2"/>
    </font>
    <font>
      <sz val="20"/>
      <name val="Arial"/>
      <family val="2"/>
    </font>
    <font>
      <b/>
      <sz val="12"/>
      <name val="Arial"/>
      <family val="2"/>
    </font>
    <font>
      <sz val="12"/>
      <name val="Arial"/>
      <family val="2"/>
    </font>
    <font>
      <b/>
      <i/>
      <sz val="12"/>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2"/>
        <bgColor indexed="64"/>
      </patternFill>
    </fill>
    <fill>
      <patternFill patternType="solid">
        <fgColor indexed="44"/>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style="thin"/>
      <right style="thin"/>
      <top>
        <color indexed="63"/>
      </top>
      <bottom>
        <color indexed="63"/>
      </bottom>
    </border>
    <border>
      <left style="thin"/>
      <right style="thin"/>
      <top>
        <color indexed="63"/>
      </top>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0" borderId="3" applyNumberFormat="0" applyFill="0" applyAlignment="0" applyProtection="0"/>
    <xf numFmtId="0" fontId="4" fillId="0" borderId="0" applyNumberFormat="0" applyFill="0" applyBorder="0" applyAlignment="0" applyProtection="0"/>
    <xf numFmtId="0" fontId="36" fillId="28" borderId="0" applyNumberFormat="0" applyBorder="0" applyAlignment="0" applyProtection="0"/>
    <xf numFmtId="0" fontId="5" fillId="0" borderId="0" applyNumberFormat="0" applyFill="0" applyBorder="0" applyAlignment="0" applyProtection="0"/>
    <xf numFmtId="0" fontId="37"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0" fillId="31" borderId="7" applyNumberFormat="0" applyFont="0" applyAlignment="0" applyProtection="0"/>
    <xf numFmtId="0" fontId="42" fillId="32"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cellStyleXfs>
  <cellXfs count="438">
    <xf numFmtId="0" fontId="0" fillId="0" borderId="0" xfId="0" applyAlignment="1">
      <alignment/>
    </xf>
    <xf numFmtId="0" fontId="1" fillId="0" borderId="0" xfId="0" applyFont="1" applyAlignment="1">
      <alignment vertical="top"/>
    </xf>
    <xf numFmtId="0" fontId="1" fillId="0" borderId="0" xfId="0" applyFont="1" applyAlignment="1">
      <alignment vertical="top" wrapText="1"/>
    </xf>
    <xf numFmtId="0" fontId="0" fillId="0" borderId="0" xfId="0" applyAlignment="1">
      <alignment vertical="top"/>
    </xf>
    <xf numFmtId="0" fontId="0" fillId="0" borderId="0" xfId="0" applyAlignment="1" quotePrefix="1">
      <alignment horizontal="left" vertical="top" wrapText="1"/>
    </xf>
    <xf numFmtId="0" fontId="0" fillId="0" borderId="0" xfId="0" applyAlignment="1">
      <alignment vertical="top" wrapText="1"/>
    </xf>
    <xf numFmtId="0" fontId="3" fillId="0" borderId="0" xfId="0" applyFont="1" applyAlignment="1" quotePrefix="1">
      <alignment horizontal="left" vertical="top"/>
    </xf>
    <xf numFmtId="0" fontId="3" fillId="0" borderId="0" xfId="0" applyFont="1" applyAlignment="1">
      <alignment vertical="top" wrapText="1"/>
    </xf>
    <xf numFmtId="0" fontId="2" fillId="0" borderId="0" xfId="0" applyFont="1" applyAlignment="1">
      <alignment vertical="top"/>
    </xf>
    <xf numFmtId="0" fontId="0" fillId="0" borderId="0" xfId="0" applyNumberFormat="1" applyAlignment="1" quotePrefix="1">
      <alignment horizontal="left" vertical="top" wrapText="1"/>
    </xf>
    <xf numFmtId="0" fontId="0" fillId="0" borderId="0" xfId="0" applyAlignment="1" quotePrefix="1">
      <alignment horizontal="left" vertical="top"/>
    </xf>
    <xf numFmtId="0" fontId="0" fillId="0" borderId="0" xfId="0" applyAlignment="1">
      <alignment horizontal="left" vertical="top" wrapText="1"/>
    </xf>
    <xf numFmtId="0" fontId="0" fillId="0" borderId="0" xfId="0" applyFill="1" applyAlignment="1" quotePrefix="1">
      <alignment horizontal="left" vertical="top" wrapText="1"/>
    </xf>
    <xf numFmtId="0" fontId="0" fillId="33" borderId="0" xfId="0" applyFill="1" applyAlignment="1">
      <alignment vertical="top"/>
    </xf>
    <xf numFmtId="0" fontId="0" fillId="0" borderId="10" xfId="0" applyFont="1" applyBorder="1" applyAlignment="1">
      <alignment vertical="top"/>
    </xf>
    <xf numFmtId="0" fontId="0" fillId="0" borderId="0" xfId="0" applyFont="1" applyBorder="1" applyAlignment="1">
      <alignment horizontal="center" vertical="top"/>
    </xf>
    <xf numFmtId="0" fontId="0" fillId="0" borderId="0" xfId="0" applyFont="1" applyBorder="1" applyAlignment="1">
      <alignment vertical="top"/>
    </xf>
    <xf numFmtId="0" fontId="7" fillId="0" borderId="11" xfId="0" applyFont="1" applyBorder="1" applyAlignment="1">
      <alignment vertical="top"/>
    </xf>
    <xf numFmtId="0" fontId="7" fillId="0" borderId="0" xfId="0" applyFont="1" applyBorder="1" applyAlignment="1">
      <alignment horizontal="center" vertical="top"/>
    </xf>
    <xf numFmtId="0" fontId="7" fillId="0" borderId="0" xfId="0" applyFont="1" applyBorder="1" applyAlignment="1">
      <alignment vertical="top"/>
    </xf>
    <xf numFmtId="0" fontId="0" fillId="34" borderId="0" xfId="0" applyFont="1" applyFill="1" applyBorder="1" applyAlignment="1">
      <alignment horizontal="center" vertical="top"/>
    </xf>
    <xf numFmtId="0" fontId="0" fillId="0" borderId="10" xfId="0" applyFont="1" applyBorder="1" applyAlignment="1" quotePrefix="1">
      <alignment horizontal="left" vertical="top" wrapText="1"/>
    </xf>
    <xf numFmtId="0" fontId="0" fillId="0" borderId="0" xfId="0" applyFont="1" applyFill="1" applyBorder="1" applyAlignment="1">
      <alignment horizontal="center" vertical="top"/>
    </xf>
    <xf numFmtId="0" fontId="7" fillId="0" borderId="12" xfId="0" applyFont="1" applyBorder="1" applyAlignment="1">
      <alignment vertical="top"/>
    </xf>
    <xf numFmtId="0" fontId="7" fillId="0" borderId="13" xfId="0" applyFont="1" applyBorder="1" applyAlignment="1">
      <alignment vertical="top"/>
    </xf>
    <xf numFmtId="0" fontId="0" fillId="0" borderId="0" xfId="0" applyFont="1" applyBorder="1" applyAlignment="1" quotePrefix="1">
      <alignment horizontal="left" vertical="top"/>
    </xf>
    <xf numFmtId="0" fontId="0" fillId="0" borderId="0" xfId="0" applyFont="1" applyBorder="1" applyAlignment="1" quotePrefix="1">
      <alignment horizontal="left" vertical="top" wrapText="1"/>
    </xf>
    <xf numFmtId="0" fontId="0" fillId="0" borderId="0" xfId="0" applyFont="1" applyBorder="1" applyAlignment="1">
      <alignment horizontal="center" vertical="top" wrapText="1"/>
    </xf>
    <xf numFmtId="0" fontId="7" fillId="0" borderId="0" xfId="0" applyFont="1" applyBorder="1" applyAlignment="1">
      <alignment horizontal="center" vertical="top" wrapText="1"/>
    </xf>
    <xf numFmtId="0" fontId="7" fillId="0" borderId="0" xfId="0" applyFont="1" applyBorder="1" applyAlignment="1" quotePrefix="1">
      <alignment horizontal="center" vertical="top" wrapText="1"/>
    </xf>
    <xf numFmtId="0" fontId="0" fillId="34" borderId="0" xfId="0" applyFont="1" applyFill="1" applyBorder="1" applyAlignment="1">
      <alignment horizontal="center" vertical="top" wrapText="1"/>
    </xf>
    <xf numFmtId="0" fontId="0" fillId="0" borderId="0" xfId="0" applyFont="1" applyBorder="1" applyAlignment="1" quotePrefix="1">
      <alignment horizontal="center" vertical="top" wrapText="1"/>
    </xf>
    <xf numFmtId="0" fontId="7" fillId="0" borderId="0" xfId="0" applyFont="1" applyBorder="1" applyAlignment="1">
      <alignment vertical="top" wrapText="1"/>
    </xf>
    <xf numFmtId="0" fontId="0" fillId="0" borderId="0" xfId="0" applyFont="1" applyBorder="1" applyAlignment="1">
      <alignment horizontal="left" vertical="top"/>
    </xf>
    <xf numFmtId="0" fontId="0" fillId="0" borderId="0" xfId="0" applyFont="1" applyFill="1" applyBorder="1" applyAlignment="1">
      <alignment horizontal="center" vertical="top" wrapText="1"/>
    </xf>
    <xf numFmtId="0" fontId="7" fillId="0" borderId="0" xfId="0" applyFont="1" applyFill="1" applyBorder="1" applyAlignment="1">
      <alignment horizontal="center" vertical="top"/>
    </xf>
    <xf numFmtId="0" fontId="0" fillId="0" borderId="0" xfId="0" applyFont="1" applyFill="1" applyBorder="1" applyAlignment="1" quotePrefix="1">
      <alignment horizontal="center" vertical="top" wrapText="1"/>
    </xf>
    <xf numFmtId="0" fontId="7" fillId="0" borderId="0" xfId="0" applyFont="1" applyFill="1" applyBorder="1" applyAlignment="1">
      <alignment vertical="top" wrapText="1"/>
    </xf>
    <xf numFmtId="0" fontId="0" fillId="34" borderId="0" xfId="0" applyFont="1" applyFill="1" applyBorder="1" applyAlignment="1" quotePrefix="1">
      <alignment horizontal="center" vertical="top" wrapText="1"/>
    </xf>
    <xf numFmtId="0" fontId="0" fillId="0" borderId="13" xfId="0" applyFont="1" applyBorder="1" applyAlignment="1">
      <alignment vertical="top"/>
    </xf>
    <xf numFmtId="0" fontId="0" fillId="0" borderId="0" xfId="0" applyFont="1" applyBorder="1" applyAlignment="1">
      <alignment vertical="top" wrapText="1"/>
    </xf>
    <xf numFmtId="0" fontId="0" fillId="0" borderId="10" xfId="0" applyFont="1" applyBorder="1" applyAlignment="1">
      <alignment horizontal="center" vertical="top" wrapText="1"/>
    </xf>
    <xf numFmtId="0" fontId="7" fillId="0" borderId="14" xfId="0" applyFont="1" applyBorder="1" applyAlignment="1">
      <alignment vertical="top"/>
    </xf>
    <xf numFmtId="0" fontId="7" fillId="0" borderId="0" xfId="0" applyFont="1" applyAlignment="1">
      <alignment vertical="top" wrapText="1"/>
    </xf>
    <xf numFmtId="0" fontId="7" fillId="0" borderId="0" xfId="0" applyFont="1" applyAlignment="1">
      <alignment vertical="top"/>
    </xf>
    <xf numFmtId="0" fontId="3" fillId="0" borderId="0" xfId="0" applyFont="1" applyAlignment="1">
      <alignment vertical="top"/>
    </xf>
    <xf numFmtId="0" fontId="0" fillId="0" borderId="0" xfId="0" applyFont="1" applyFill="1" applyBorder="1" applyAlignment="1" quotePrefix="1">
      <alignment horizontal="center" vertical="top"/>
    </xf>
    <xf numFmtId="9" fontId="0" fillId="0" borderId="0" xfId="0" applyNumberFormat="1" applyAlignment="1">
      <alignment vertical="top"/>
    </xf>
    <xf numFmtId="0" fontId="7" fillId="0" borderId="0" xfId="0" applyFont="1" applyAlignment="1" quotePrefix="1">
      <alignment horizontal="left" vertical="top"/>
    </xf>
    <xf numFmtId="0" fontId="0" fillId="0" borderId="0" xfId="0" applyFill="1" applyAlignment="1">
      <alignment vertical="top"/>
    </xf>
    <xf numFmtId="0" fontId="0" fillId="34" borderId="0" xfId="0" applyFill="1" applyAlignment="1">
      <alignment vertical="top" wrapText="1"/>
    </xf>
    <xf numFmtId="0" fontId="0" fillId="0" borderId="0" xfId="0" applyFont="1" applyBorder="1" applyAlignment="1">
      <alignment horizontal="center" vertical="top" wrapText="1"/>
    </xf>
    <xf numFmtId="0" fontId="0" fillId="0" borderId="0" xfId="0" applyNumberFormat="1" applyFont="1" applyBorder="1" applyAlignment="1">
      <alignment horizontal="center" vertical="top"/>
    </xf>
    <xf numFmtId="0" fontId="0" fillId="0" borderId="10" xfId="0" applyFont="1" applyBorder="1" applyAlignment="1">
      <alignment horizontal="center" vertical="top"/>
    </xf>
    <xf numFmtId="0" fontId="0" fillId="0" borderId="0" xfId="0" applyFont="1" applyAlignment="1">
      <alignment vertical="top"/>
    </xf>
    <xf numFmtId="0" fontId="0" fillId="0" borderId="0" xfId="0" applyAlignment="1">
      <alignment horizontal="center" vertical="top"/>
    </xf>
    <xf numFmtId="0" fontId="0" fillId="0" borderId="0" xfId="0" applyAlignment="1" quotePrefix="1">
      <alignment horizontal="center" vertical="top"/>
    </xf>
    <xf numFmtId="0" fontId="0" fillId="0" borderId="0" xfId="0" applyFont="1" applyAlignment="1">
      <alignment vertical="top" wrapText="1"/>
    </xf>
    <xf numFmtId="0" fontId="3" fillId="0" borderId="0" xfId="0" applyFont="1" applyAlignment="1">
      <alignment horizontal="left" vertical="top"/>
    </xf>
    <xf numFmtId="0" fontId="0" fillId="0" borderId="0" xfId="0" applyFill="1" applyAlignment="1">
      <alignment vertical="top" wrapText="1"/>
    </xf>
    <xf numFmtId="9" fontId="0" fillId="0" borderId="0" xfId="0" applyNumberFormat="1" applyFill="1" applyAlignment="1">
      <alignment horizontal="center" vertical="top"/>
    </xf>
    <xf numFmtId="0" fontId="9" fillId="0" borderId="0" xfId="0" applyFont="1" applyAlignment="1">
      <alignment vertical="top"/>
    </xf>
    <xf numFmtId="0" fontId="9" fillId="0" borderId="0" xfId="0" applyFont="1" applyAlignment="1">
      <alignment vertical="top" wrapText="1"/>
    </xf>
    <xf numFmtId="9" fontId="9" fillId="0" borderId="0" xfId="0" applyNumberFormat="1" applyFont="1" applyAlignment="1">
      <alignment vertical="top"/>
    </xf>
    <xf numFmtId="0" fontId="9" fillId="0" borderId="0" xfId="0" applyFont="1" applyFill="1" applyAlignment="1">
      <alignment vertical="top"/>
    </xf>
    <xf numFmtId="0" fontId="0" fillId="35" borderId="15" xfId="0" applyFont="1" applyFill="1" applyBorder="1" applyAlignment="1">
      <alignment horizontal="center" vertical="top"/>
    </xf>
    <xf numFmtId="0" fontId="0" fillId="35" borderId="16" xfId="0" applyFont="1" applyFill="1" applyBorder="1" applyAlignment="1">
      <alignment horizontal="center" vertical="top"/>
    </xf>
    <xf numFmtId="0" fontId="0" fillId="35" borderId="16" xfId="0" applyFont="1" applyFill="1" applyBorder="1" applyAlignment="1">
      <alignment vertical="top"/>
    </xf>
    <xf numFmtId="9" fontId="0" fillId="35" borderId="17" xfId="0" applyNumberFormat="1" applyFont="1" applyFill="1" applyBorder="1" applyAlignment="1">
      <alignment vertical="top"/>
    </xf>
    <xf numFmtId="0" fontId="0" fillId="35" borderId="14" xfId="0" applyFont="1" applyFill="1" applyBorder="1" applyAlignment="1">
      <alignment horizontal="center" vertical="top"/>
    </xf>
    <xf numFmtId="0" fontId="0" fillId="35" borderId="0" xfId="0" applyFont="1" applyFill="1" applyBorder="1" applyAlignment="1">
      <alignment horizontal="center" vertical="top"/>
    </xf>
    <xf numFmtId="9" fontId="0" fillId="35" borderId="0" xfId="0" applyNumberFormat="1" applyFont="1" applyFill="1" applyBorder="1" applyAlignment="1">
      <alignment horizontal="center" vertical="top"/>
    </xf>
    <xf numFmtId="9" fontId="0" fillId="35" borderId="0" xfId="55" applyFont="1" applyFill="1" applyBorder="1" applyAlignment="1">
      <alignment vertical="top"/>
    </xf>
    <xf numFmtId="9" fontId="0" fillId="35" borderId="18" xfId="55" applyFont="1" applyFill="1" applyBorder="1" applyAlignment="1">
      <alignment vertical="top"/>
    </xf>
    <xf numFmtId="0" fontId="0" fillId="35" borderId="12" xfId="0" applyFont="1" applyFill="1" applyBorder="1" applyAlignment="1">
      <alignment horizontal="center" vertical="top"/>
    </xf>
    <xf numFmtId="0" fontId="0" fillId="35" borderId="13" xfId="0" applyFont="1" applyFill="1" applyBorder="1" applyAlignment="1">
      <alignment horizontal="center" vertical="top"/>
    </xf>
    <xf numFmtId="9" fontId="0" fillId="35" borderId="13" xfId="0" applyNumberFormat="1" applyFont="1" applyFill="1" applyBorder="1" applyAlignment="1">
      <alignment horizontal="center" vertical="top"/>
    </xf>
    <xf numFmtId="9" fontId="0" fillId="35" borderId="13" xfId="55" applyFont="1" applyFill="1" applyBorder="1" applyAlignment="1">
      <alignment vertical="top"/>
    </xf>
    <xf numFmtId="9" fontId="0" fillId="35" borderId="19" xfId="55" applyFont="1" applyFill="1" applyBorder="1" applyAlignment="1">
      <alignment vertical="top"/>
    </xf>
    <xf numFmtId="9" fontId="9" fillId="0" borderId="0" xfId="55" applyFont="1" applyAlignment="1">
      <alignment vertical="top" wrapText="1"/>
    </xf>
    <xf numFmtId="9" fontId="0" fillId="35" borderId="16" xfId="0" applyNumberFormat="1" applyFont="1" applyFill="1" applyBorder="1" applyAlignment="1" quotePrefix="1">
      <alignment horizontal="left" vertical="top"/>
    </xf>
    <xf numFmtId="0" fontId="0" fillId="35" borderId="15" xfId="0" applyFill="1" applyBorder="1" applyAlignment="1">
      <alignment horizontal="center" vertical="top"/>
    </xf>
    <xf numFmtId="0" fontId="0" fillId="35" borderId="16" xfId="0" applyFill="1" applyBorder="1" applyAlignment="1">
      <alignment horizontal="center" vertical="top"/>
    </xf>
    <xf numFmtId="0" fontId="0" fillId="35" borderId="16" xfId="0" applyFill="1" applyBorder="1" applyAlignment="1">
      <alignment vertical="top"/>
    </xf>
    <xf numFmtId="9" fontId="0" fillId="35" borderId="17" xfId="0" applyNumberFormat="1" applyFill="1" applyBorder="1" applyAlignment="1">
      <alignment vertical="top"/>
    </xf>
    <xf numFmtId="0" fontId="0" fillId="35" borderId="14" xfId="0" applyFill="1" applyBorder="1" applyAlignment="1">
      <alignment horizontal="center" vertical="top"/>
    </xf>
    <xf numFmtId="0" fontId="0" fillId="35" borderId="0" xfId="0" applyFill="1" applyBorder="1" applyAlignment="1">
      <alignment horizontal="center" vertical="top"/>
    </xf>
    <xf numFmtId="9" fontId="0" fillId="35" borderId="0" xfId="0" applyNumberFormat="1" applyFill="1" applyBorder="1" applyAlignment="1">
      <alignment horizontal="center" vertical="top"/>
    </xf>
    <xf numFmtId="0" fontId="0" fillId="35" borderId="0" xfId="0" applyFill="1" applyBorder="1" applyAlignment="1">
      <alignment vertical="top"/>
    </xf>
    <xf numFmtId="0" fontId="0" fillId="35" borderId="12" xfId="0" applyFill="1" applyBorder="1" applyAlignment="1">
      <alignment horizontal="center" vertical="top"/>
    </xf>
    <xf numFmtId="0" fontId="0" fillId="35" borderId="13" xfId="0" applyFill="1" applyBorder="1" applyAlignment="1">
      <alignment horizontal="center" vertical="top"/>
    </xf>
    <xf numFmtId="9" fontId="0" fillId="35" borderId="13" xfId="0" applyNumberFormat="1" applyFill="1" applyBorder="1" applyAlignment="1">
      <alignment horizontal="center" vertical="top"/>
    </xf>
    <xf numFmtId="0" fontId="0" fillId="35" borderId="13" xfId="0" applyFill="1" applyBorder="1" applyAlignment="1">
      <alignment vertical="top"/>
    </xf>
    <xf numFmtId="9" fontId="0" fillId="35" borderId="16" xfId="0" applyNumberFormat="1" applyFill="1" applyBorder="1" applyAlignment="1">
      <alignment horizontal="center" vertical="top"/>
    </xf>
    <xf numFmtId="0" fontId="0" fillId="34" borderId="0" xfId="0" applyFill="1" applyAlignment="1" quotePrefix="1">
      <alignment horizontal="left" vertical="top" wrapText="1"/>
    </xf>
    <xf numFmtId="0" fontId="0" fillId="0" borderId="0" xfId="0" applyFont="1" applyAlignment="1">
      <alignment vertical="top"/>
    </xf>
    <xf numFmtId="0" fontId="0" fillId="0" borderId="0" xfId="0" applyFont="1" applyFill="1" applyAlignment="1">
      <alignment vertical="top" wrapText="1"/>
    </xf>
    <xf numFmtId="0" fontId="0" fillId="0" borderId="0" xfId="0" applyAlignment="1">
      <alignment horizontal="right" vertical="top"/>
    </xf>
    <xf numFmtId="0" fontId="10" fillId="0" borderId="0" xfId="0" applyFont="1" applyAlignment="1">
      <alignment horizontal="center" vertical="top"/>
    </xf>
    <xf numFmtId="0" fontId="10" fillId="0" borderId="0" xfId="0" applyFont="1" applyAlignment="1">
      <alignment vertical="top" wrapText="1"/>
    </xf>
    <xf numFmtId="0" fontId="10" fillId="0" borderId="0" xfId="0" applyFont="1" applyAlignment="1">
      <alignment vertical="top"/>
    </xf>
    <xf numFmtId="0" fontId="0" fillId="0" borderId="0" xfId="0" applyFont="1" applyBorder="1" applyAlignment="1">
      <alignment horizontal="center" vertical="top"/>
    </xf>
    <xf numFmtId="0" fontId="12" fillId="0" borderId="0" xfId="0" applyFont="1" applyBorder="1" applyAlignment="1">
      <alignment horizontal="center" vertical="top"/>
    </xf>
    <xf numFmtId="0" fontId="12" fillId="0" borderId="0" xfId="0" applyFont="1" applyBorder="1" applyAlignment="1">
      <alignment vertical="top"/>
    </xf>
    <xf numFmtId="0" fontId="7" fillId="0" borderId="12" xfId="0" applyFont="1" applyFill="1" applyBorder="1" applyAlignment="1">
      <alignment horizontal="right" vertical="top"/>
    </xf>
    <xf numFmtId="0" fontId="8" fillId="0" borderId="15" xfId="0" applyFont="1" applyFill="1" applyBorder="1" applyAlignment="1">
      <alignment vertical="top"/>
    </xf>
    <xf numFmtId="0" fontId="7" fillId="0" borderId="17" xfId="0" applyFont="1" applyFill="1" applyBorder="1" applyAlignment="1">
      <alignment vertical="top"/>
    </xf>
    <xf numFmtId="0" fontId="7" fillId="0" borderId="18" xfId="0" applyFont="1" applyFill="1" applyBorder="1" applyAlignment="1" quotePrefix="1">
      <alignment horizontal="left" vertical="top" wrapText="1"/>
    </xf>
    <xf numFmtId="0" fontId="7" fillId="0" borderId="19" xfId="0" applyNumberFormat="1" applyFont="1" applyFill="1" applyBorder="1" applyAlignment="1" quotePrefix="1">
      <alignment horizontal="left" vertical="top" wrapText="1"/>
    </xf>
    <xf numFmtId="0" fontId="11" fillId="0" borderId="15" xfId="0" applyFont="1" applyBorder="1" applyAlignment="1">
      <alignment vertical="top"/>
    </xf>
    <xf numFmtId="0" fontId="11" fillId="0" borderId="17" xfId="0" applyFont="1" applyBorder="1" applyAlignment="1">
      <alignment vertical="top"/>
    </xf>
    <xf numFmtId="0" fontId="8" fillId="0" borderId="15" xfId="0" applyFont="1" applyBorder="1" applyAlignment="1">
      <alignment vertical="top"/>
    </xf>
    <xf numFmtId="0" fontId="8" fillId="0" borderId="17" xfId="0" applyFont="1" applyBorder="1" applyAlignment="1">
      <alignment vertical="top"/>
    </xf>
    <xf numFmtId="0" fontId="0" fillId="0" borderId="14" xfId="0" applyFont="1" applyBorder="1" applyAlignment="1">
      <alignment vertical="top"/>
    </xf>
    <xf numFmtId="0" fontId="7" fillId="0" borderId="18" xfId="0" applyFont="1" applyBorder="1" applyAlignment="1">
      <alignment vertical="top" wrapText="1"/>
    </xf>
    <xf numFmtId="0" fontId="7" fillId="0" borderId="17" xfId="0" applyFont="1" applyBorder="1" applyAlignment="1">
      <alignment vertical="top"/>
    </xf>
    <xf numFmtId="0" fontId="0" fillId="0" borderId="14" xfId="0" applyFont="1" applyFill="1" applyBorder="1" applyAlignment="1">
      <alignment horizontal="right" vertical="top"/>
    </xf>
    <xf numFmtId="0" fontId="7" fillId="0" borderId="18" xfId="0" applyFont="1" applyFill="1" applyBorder="1" applyAlignment="1">
      <alignment vertical="top" wrapText="1"/>
    </xf>
    <xf numFmtId="0" fontId="0" fillId="0" borderId="14" xfId="0" applyFont="1" applyFill="1" applyBorder="1" applyAlignment="1">
      <alignment vertical="top"/>
    </xf>
    <xf numFmtId="0" fontId="7" fillId="0" borderId="14" xfId="0" applyFont="1" applyFill="1" applyBorder="1" applyAlignment="1">
      <alignment horizontal="right" vertical="top"/>
    </xf>
    <xf numFmtId="0" fontId="0" fillId="0" borderId="12" xfId="0" applyFont="1" applyFill="1" applyBorder="1" applyAlignment="1">
      <alignment horizontal="right" vertical="top"/>
    </xf>
    <xf numFmtId="0" fontId="7" fillId="0" borderId="18" xfId="0" applyFont="1" applyBorder="1" applyAlignment="1" quotePrefix="1">
      <alignment horizontal="left" vertical="top" wrapText="1"/>
    </xf>
    <xf numFmtId="0" fontId="7" fillId="0" borderId="19" xfId="0" applyNumberFormat="1" applyFont="1" applyBorder="1" applyAlignment="1">
      <alignment vertical="top" wrapText="1"/>
    </xf>
    <xf numFmtId="0" fontId="7" fillId="0" borderId="19" xfId="0" applyFont="1" applyBorder="1" applyAlignment="1" quotePrefix="1">
      <alignment horizontal="left" vertical="top" wrapText="1"/>
    </xf>
    <xf numFmtId="0" fontId="6" fillId="0" borderId="17" xfId="0" applyFont="1" applyBorder="1" applyAlignment="1">
      <alignment vertical="top"/>
    </xf>
    <xf numFmtId="0" fontId="7" fillId="0" borderId="19" xfId="0" applyFont="1" applyBorder="1" applyAlignment="1">
      <alignment vertical="top" wrapText="1"/>
    </xf>
    <xf numFmtId="0" fontId="7" fillId="0" borderId="14" xfId="0" applyFont="1" applyFill="1" applyBorder="1" applyAlignment="1">
      <alignment vertical="top"/>
    </xf>
    <xf numFmtId="0" fontId="7" fillId="0" borderId="12" xfId="0" applyFont="1" applyFill="1" applyBorder="1" applyAlignment="1">
      <alignment vertical="top" wrapText="1"/>
    </xf>
    <xf numFmtId="0" fontId="8" fillId="0" borderId="14" xfId="0" applyFont="1" applyBorder="1" applyAlignment="1">
      <alignment vertical="top"/>
    </xf>
    <xf numFmtId="0" fontId="8" fillId="0" borderId="18" xfId="0" applyFont="1" applyBorder="1" applyAlignment="1">
      <alignment vertical="top"/>
    </xf>
    <xf numFmtId="0" fontId="8" fillId="0" borderId="11" xfId="0" applyFont="1" applyBorder="1" applyAlignment="1">
      <alignment vertical="top"/>
    </xf>
    <xf numFmtId="0" fontId="8" fillId="0" borderId="20" xfId="0" applyFont="1" applyBorder="1" applyAlignment="1">
      <alignment vertical="top"/>
    </xf>
    <xf numFmtId="0" fontId="7" fillId="0" borderId="18" xfId="0" applyNumberFormat="1" applyFont="1" applyBorder="1" applyAlignment="1" quotePrefix="1">
      <alignment horizontal="left" vertical="top" wrapText="1"/>
    </xf>
    <xf numFmtId="0" fontId="7" fillId="0" borderId="18" xfId="0" applyNumberFormat="1" applyFont="1" applyBorder="1" applyAlignment="1">
      <alignment vertical="top" wrapText="1"/>
    </xf>
    <xf numFmtId="0" fontId="7" fillId="0" borderId="19" xfId="0" applyNumberFormat="1" applyFont="1" applyBorder="1" applyAlignment="1" quotePrefix="1">
      <alignment horizontal="left" vertical="top" wrapText="1"/>
    </xf>
    <xf numFmtId="0" fontId="0" fillId="0" borderId="14" xfId="0" applyFont="1" applyBorder="1" applyAlignment="1">
      <alignment vertical="top"/>
    </xf>
    <xf numFmtId="0" fontId="0" fillId="0" borderId="12" xfId="0" applyFont="1" applyBorder="1" applyAlignment="1">
      <alignment vertical="top"/>
    </xf>
    <xf numFmtId="0" fontId="7" fillId="0" borderId="18" xfId="0" applyFont="1" applyBorder="1" applyAlignment="1" quotePrefix="1">
      <alignment horizontal="left" vertical="top"/>
    </xf>
    <xf numFmtId="0" fontId="7" fillId="0" borderId="18" xfId="0" applyNumberFormat="1" applyFont="1" applyBorder="1" applyAlignment="1">
      <alignment horizontal="left" vertical="top" wrapText="1"/>
    </xf>
    <xf numFmtId="0" fontId="7" fillId="0" borderId="18" xfId="0" applyNumberFormat="1" applyFont="1" applyFill="1" applyBorder="1" applyAlignment="1" quotePrefix="1">
      <alignment horizontal="left" vertical="top" wrapText="1"/>
    </xf>
    <xf numFmtId="0" fontId="7" fillId="0" borderId="18" xfId="0" applyNumberFormat="1" applyFont="1" applyFill="1" applyBorder="1" applyAlignment="1">
      <alignment horizontal="left" vertical="top" wrapText="1"/>
    </xf>
    <xf numFmtId="0" fontId="7" fillId="0" borderId="18" xfId="0" applyFont="1" applyBorder="1" applyAlignment="1">
      <alignment vertical="top"/>
    </xf>
    <xf numFmtId="0" fontId="7" fillId="0" borderId="18" xfId="0" applyFont="1" applyBorder="1" applyAlignment="1">
      <alignment horizontal="left" vertical="top" wrapText="1"/>
    </xf>
    <xf numFmtId="0" fontId="7" fillId="0" borderId="12" xfId="0" applyFont="1" applyBorder="1" applyAlignment="1">
      <alignment vertical="top" wrapText="1"/>
    </xf>
    <xf numFmtId="0" fontId="7" fillId="0" borderId="19" xfId="0" applyNumberFormat="1" applyFont="1" applyBorder="1" applyAlignment="1">
      <alignment horizontal="left" vertical="top" wrapText="1"/>
    </xf>
    <xf numFmtId="0" fontId="0" fillId="0" borderId="12" xfId="0" applyFont="1" applyFill="1" applyBorder="1" applyAlignment="1">
      <alignment vertical="top"/>
    </xf>
    <xf numFmtId="0" fontId="7" fillId="0" borderId="19" xfId="0" applyFont="1" applyBorder="1" applyAlignment="1">
      <alignment vertical="top"/>
    </xf>
    <xf numFmtId="0" fontId="8" fillId="0" borderId="17" xfId="0" applyFont="1" applyFill="1" applyBorder="1" applyAlignment="1">
      <alignment vertical="top"/>
    </xf>
    <xf numFmtId="0" fontId="7" fillId="0" borderId="18" xfId="0" applyFont="1" applyFill="1" applyBorder="1" applyAlignment="1">
      <alignment vertical="top"/>
    </xf>
    <xf numFmtId="0" fontId="7" fillId="0" borderId="19" xfId="0" applyFont="1" applyFill="1" applyBorder="1" applyAlignment="1">
      <alignment vertical="top" wrapText="1"/>
    </xf>
    <xf numFmtId="0" fontId="7" fillId="0" borderId="15" xfId="0" applyFont="1" applyFill="1" applyBorder="1" applyAlignment="1">
      <alignment vertical="top"/>
    </xf>
    <xf numFmtId="0" fontId="11" fillId="0" borderId="11" xfId="0" applyFont="1" applyBorder="1" applyAlignment="1">
      <alignment vertical="top"/>
    </xf>
    <xf numFmtId="0" fontId="11" fillId="0" borderId="20" xfId="0" applyFont="1" applyBorder="1" applyAlignment="1">
      <alignment vertical="top"/>
    </xf>
    <xf numFmtId="0" fontId="7" fillId="0" borderId="12" xfId="0" applyFont="1" applyFill="1" applyBorder="1" applyAlignment="1">
      <alignment vertical="top"/>
    </xf>
    <xf numFmtId="0" fontId="0" fillId="36" borderId="0" xfId="0" applyFill="1" applyAlignment="1">
      <alignment horizontal="center" vertical="top"/>
    </xf>
    <xf numFmtId="9" fontId="0" fillId="36" borderId="0" xfId="0" applyNumberFormat="1" applyFill="1" applyAlignment="1">
      <alignment horizontal="center" vertical="top"/>
    </xf>
    <xf numFmtId="9" fontId="0" fillId="36" borderId="0" xfId="0" applyNumberFormat="1" applyFill="1" applyBorder="1" applyAlignment="1">
      <alignment horizontal="center" vertical="top"/>
    </xf>
    <xf numFmtId="9" fontId="0" fillId="0" borderId="0" xfId="0" applyNumberFormat="1" applyAlignment="1">
      <alignment horizontal="center" vertical="top"/>
    </xf>
    <xf numFmtId="0" fontId="9" fillId="0" borderId="0" xfId="0" applyFont="1" applyAlignment="1">
      <alignment horizontal="center" vertical="top"/>
    </xf>
    <xf numFmtId="9" fontId="9" fillId="0" borderId="0" xfId="55" applyFont="1" applyAlignment="1">
      <alignment horizontal="center" vertical="top" wrapText="1"/>
    </xf>
    <xf numFmtId="0" fontId="0" fillId="0" borderId="0" xfId="0" applyFill="1" applyAlignment="1">
      <alignment horizontal="center" vertical="top"/>
    </xf>
    <xf numFmtId="0" fontId="0" fillId="37" borderId="0" xfId="0" applyFill="1" applyAlignment="1">
      <alignment vertical="top"/>
    </xf>
    <xf numFmtId="0" fontId="0" fillId="37" borderId="0" xfId="0" applyFill="1" applyAlignment="1">
      <alignment vertical="top" wrapText="1"/>
    </xf>
    <xf numFmtId="0" fontId="0" fillId="37" borderId="0" xfId="0" applyFill="1" applyAlignment="1">
      <alignment horizontal="center" vertical="top"/>
    </xf>
    <xf numFmtId="0" fontId="6" fillId="36" borderId="0" xfId="0" applyFont="1" applyFill="1" applyAlignment="1">
      <alignment horizontal="center" vertical="top"/>
    </xf>
    <xf numFmtId="0" fontId="6" fillId="0" borderId="0" xfId="0" applyFont="1" applyAlignment="1">
      <alignment vertical="top"/>
    </xf>
    <xf numFmtId="0" fontId="3" fillId="37" borderId="0" xfId="0" applyFont="1" applyFill="1" applyAlignment="1">
      <alignment vertical="top"/>
    </xf>
    <xf numFmtId="0" fontId="6" fillId="0" borderId="0" xfId="0" applyFont="1" applyFill="1" applyAlignment="1">
      <alignment vertical="top"/>
    </xf>
    <xf numFmtId="0" fontId="6" fillId="37" borderId="0" xfId="0" applyFont="1" applyFill="1" applyAlignment="1">
      <alignment vertical="top"/>
    </xf>
    <xf numFmtId="0" fontId="8" fillId="37" borderId="0" xfId="0" applyFont="1" applyFill="1" applyAlignment="1">
      <alignment horizontal="center" vertical="top"/>
    </xf>
    <xf numFmtId="0" fontId="6" fillId="0" borderId="0" xfId="0" applyFont="1" applyAlignment="1">
      <alignment horizontal="center" vertical="top"/>
    </xf>
    <xf numFmtId="9" fontId="0" fillId="0" borderId="0" xfId="55" applyFont="1" applyAlignment="1">
      <alignment horizontal="center" vertical="top" wrapText="1"/>
    </xf>
    <xf numFmtId="0" fontId="8" fillId="0" borderId="0" xfId="0" applyFont="1" applyFill="1" applyAlignment="1">
      <alignment horizontal="center" vertical="top"/>
    </xf>
    <xf numFmtId="184" fontId="8" fillId="0" borderId="0" xfId="0" applyNumberFormat="1" applyFont="1" applyAlignment="1">
      <alignment horizontal="center" vertical="top"/>
    </xf>
    <xf numFmtId="0" fontId="7" fillId="36" borderId="0" xfId="0" applyFont="1" applyFill="1" applyAlignment="1">
      <alignment horizontal="center" vertical="top"/>
    </xf>
    <xf numFmtId="0" fontId="6" fillId="34" borderId="0" xfId="0" applyFont="1" applyFill="1" applyAlignment="1">
      <alignment vertical="top"/>
    </xf>
    <xf numFmtId="0" fontId="8" fillId="0" borderId="0" xfId="0" applyFont="1" applyAlignment="1">
      <alignment horizontal="center" vertical="top"/>
    </xf>
    <xf numFmtId="185" fontId="8" fillId="37" borderId="0" xfId="0" applyNumberFormat="1" applyFont="1" applyFill="1" applyAlignment="1">
      <alignment horizontal="center" vertical="top"/>
    </xf>
    <xf numFmtId="184" fontId="8" fillId="0" borderId="0" xfId="55" applyNumberFormat="1" applyFont="1" applyAlignment="1">
      <alignment horizontal="center" vertical="top" wrapText="1"/>
    </xf>
    <xf numFmtId="0" fontId="0" fillId="36" borderId="0" xfId="0" applyFill="1" applyAlignment="1">
      <alignment vertical="top"/>
    </xf>
    <xf numFmtId="9" fontId="9" fillId="36" borderId="0" xfId="0" applyNumberFormat="1" applyFont="1" applyFill="1" applyAlignment="1">
      <alignment horizontal="center" vertical="top"/>
    </xf>
    <xf numFmtId="9" fontId="9" fillId="36" borderId="0" xfId="0" applyNumberFormat="1" applyFont="1" applyFill="1" applyAlignment="1">
      <alignment horizontal="center" vertical="top" wrapText="1"/>
    </xf>
    <xf numFmtId="9" fontId="9" fillId="36" borderId="0" xfId="55" applyFont="1" applyFill="1" applyAlignment="1">
      <alignment horizontal="center" vertical="top" wrapText="1"/>
    </xf>
    <xf numFmtId="9" fontId="9" fillId="36" borderId="0" xfId="0" applyNumberFormat="1" applyFont="1" applyFill="1" applyAlignment="1">
      <alignment horizontal="center" vertical="top"/>
    </xf>
    <xf numFmtId="0" fontId="3" fillId="37" borderId="0" xfId="0" applyFont="1" applyFill="1" applyAlignment="1">
      <alignment horizontal="left" vertical="top"/>
    </xf>
    <xf numFmtId="0" fontId="3" fillId="37" borderId="0" xfId="0" applyFont="1" applyFill="1" applyAlignment="1" quotePrefix="1">
      <alignment horizontal="left" vertical="top"/>
    </xf>
    <xf numFmtId="0" fontId="0" fillId="0" borderId="0" xfId="0" applyAlignment="1">
      <alignment horizontal="center"/>
    </xf>
    <xf numFmtId="9" fontId="7" fillId="0" borderId="0" xfId="0" applyNumberFormat="1" applyFont="1" applyFill="1" applyAlignment="1">
      <alignment horizontal="center" vertical="top"/>
    </xf>
    <xf numFmtId="9" fontId="7" fillId="0" borderId="0" xfId="0" applyNumberFormat="1" applyFont="1" applyFill="1" applyAlignment="1">
      <alignment horizontal="center"/>
    </xf>
    <xf numFmtId="0" fontId="7" fillId="0" borderId="0" xfId="0" applyFont="1" applyAlignment="1">
      <alignment horizontal="left" vertical="top"/>
    </xf>
    <xf numFmtId="9" fontId="7" fillId="0" borderId="0" xfId="0" applyNumberFormat="1" applyFont="1" applyFill="1" applyAlignment="1">
      <alignment horizontal="left" vertical="top"/>
    </xf>
    <xf numFmtId="0" fontId="8" fillId="37" borderId="0" xfId="0" applyFont="1" applyFill="1" applyAlignment="1">
      <alignment horizontal="center"/>
    </xf>
    <xf numFmtId="0" fontId="7" fillId="0" borderId="17" xfId="0" applyFont="1" applyFill="1" applyBorder="1" applyAlignment="1" quotePrefix="1">
      <alignment horizontal="left" vertical="top" wrapText="1"/>
    </xf>
    <xf numFmtId="0" fontId="8" fillId="37" borderId="0" xfId="0" applyFont="1" applyFill="1" applyAlignment="1">
      <alignment/>
    </xf>
    <xf numFmtId="0" fontId="6" fillId="34" borderId="0" xfId="0" applyFont="1" applyFill="1" applyAlignment="1">
      <alignment horizontal="center" vertical="top"/>
    </xf>
    <xf numFmtId="0" fontId="0" fillId="0" borderId="0" xfId="0" applyAlignment="1">
      <alignment horizontal="left" vertical="top"/>
    </xf>
    <xf numFmtId="0" fontId="0" fillId="0" borderId="0" xfId="0" applyFill="1" applyAlignment="1">
      <alignment horizontal="center"/>
    </xf>
    <xf numFmtId="0" fontId="8" fillId="0" borderId="0" xfId="0" applyFont="1" applyFill="1" applyAlignment="1">
      <alignment horizontal="left"/>
    </xf>
    <xf numFmtId="0" fontId="8" fillId="0" borderId="0" xfId="0" applyFont="1" applyFill="1" applyAlignment="1">
      <alignment horizontal="center"/>
    </xf>
    <xf numFmtId="0" fontId="8" fillId="0" borderId="0" xfId="0" applyFont="1" applyFill="1" applyAlignment="1">
      <alignment/>
    </xf>
    <xf numFmtId="0" fontId="0" fillId="0" borderId="0" xfId="0" applyFill="1" applyBorder="1" applyAlignment="1">
      <alignment horizontal="center"/>
    </xf>
    <xf numFmtId="0" fontId="8" fillId="0" borderId="21" xfId="0" applyFont="1" applyFill="1" applyBorder="1" applyAlignment="1">
      <alignment horizontal="center"/>
    </xf>
    <xf numFmtId="0" fontId="8" fillId="0" borderId="22" xfId="0" applyFont="1" applyFill="1" applyBorder="1" applyAlignment="1">
      <alignment horizontal="center"/>
    </xf>
    <xf numFmtId="0" fontId="0" fillId="0" borderId="23" xfId="0" applyFont="1" applyFill="1" applyBorder="1" applyAlignment="1">
      <alignment horizontal="center"/>
    </xf>
    <xf numFmtId="0" fontId="0" fillId="0" borderId="0" xfId="0" applyFont="1" applyFill="1" applyBorder="1" applyAlignment="1">
      <alignment horizontal="center"/>
    </xf>
    <xf numFmtId="0" fontId="0" fillId="0" borderId="22" xfId="0" applyFill="1" applyBorder="1" applyAlignment="1">
      <alignment horizontal="center"/>
    </xf>
    <xf numFmtId="0" fontId="0" fillId="0" borderId="21" xfId="0" applyFill="1" applyBorder="1" applyAlignment="1">
      <alignment horizontal="center"/>
    </xf>
    <xf numFmtId="0" fontId="8" fillId="0" borderId="24" xfId="0" applyFont="1" applyFill="1" applyBorder="1" applyAlignment="1">
      <alignment horizontal="center"/>
    </xf>
    <xf numFmtId="0" fontId="0" fillId="0" borderId="18" xfId="0" applyFont="1" applyFill="1" applyBorder="1" applyAlignment="1">
      <alignment horizontal="center"/>
    </xf>
    <xf numFmtId="9" fontId="0" fillId="0" borderId="25" xfId="0" applyNumberFormat="1" applyFill="1" applyBorder="1" applyAlignment="1">
      <alignment horizontal="center"/>
    </xf>
    <xf numFmtId="9" fontId="0" fillId="0" borderId="0" xfId="0" applyNumberFormat="1" applyFill="1" applyBorder="1" applyAlignment="1">
      <alignment horizontal="center"/>
    </xf>
    <xf numFmtId="9" fontId="0" fillId="0" borderId="26" xfId="0" applyNumberFormat="1" applyFill="1" applyBorder="1" applyAlignment="1">
      <alignment horizontal="center"/>
    </xf>
    <xf numFmtId="9" fontId="0" fillId="0" borderId="27" xfId="0" applyNumberFormat="1" applyFill="1" applyBorder="1" applyAlignment="1">
      <alignment horizontal="center"/>
    </xf>
    <xf numFmtId="0" fontId="0" fillId="0" borderId="28" xfId="0" applyFill="1" applyBorder="1" applyAlignment="1">
      <alignment horizontal="left"/>
    </xf>
    <xf numFmtId="0" fontId="0" fillId="0" borderId="13" xfId="0" applyFill="1" applyBorder="1" applyAlignment="1">
      <alignment horizontal="center"/>
    </xf>
    <xf numFmtId="0" fontId="0" fillId="0" borderId="19" xfId="0" applyFill="1" applyBorder="1" applyAlignment="1">
      <alignment horizontal="center"/>
    </xf>
    <xf numFmtId="9" fontId="0" fillId="36" borderId="27" xfId="0" applyNumberFormat="1" applyFill="1" applyBorder="1" applyAlignment="1">
      <alignment horizontal="center"/>
    </xf>
    <xf numFmtId="0" fontId="0" fillId="0" borderId="22" xfId="0" applyFont="1" applyFill="1" applyBorder="1" applyAlignment="1">
      <alignment horizontal="center"/>
    </xf>
    <xf numFmtId="0" fontId="0" fillId="0" borderId="21" xfId="0" applyFont="1" applyFill="1" applyBorder="1" applyAlignment="1">
      <alignment horizontal="center"/>
    </xf>
    <xf numFmtId="9" fontId="0" fillId="0" borderId="21" xfId="0" applyNumberFormat="1" applyFill="1" applyBorder="1" applyAlignment="1">
      <alignment horizontal="center"/>
    </xf>
    <xf numFmtId="0" fontId="8" fillId="0" borderId="29" xfId="0" applyFont="1" applyFill="1" applyBorder="1" applyAlignment="1">
      <alignment horizontal="center"/>
    </xf>
    <xf numFmtId="0" fontId="8" fillId="0" borderId="30" xfId="0" applyFont="1" applyFill="1" applyBorder="1" applyAlignment="1">
      <alignment horizontal="center"/>
    </xf>
    <xf numFmtId="9" fontId="0" fillId="0" borderId="31" xfId="0" applyNumberFormat="1" applyFill="1" applyBorder="1" applyAlignment="1">
      <alignment horizontal="center"/>
    </xf>
    <xf numFmtId="9" fontId="0" fillId="0" borderId="32" xfId="0" applyNumberFormat="1" applyFill="1" applyBorder="1" applyAlignment="1">
      <alignment horizontal="center"/>
    </xf>
    <xf numFmtId="9" fontId="0" fillId="0" borderId="14" xfId="0" applyNumberFormat="1" applyFill="1" applyBorder="1" applyAlignment="1">
      <alignment horizontal="center"/>
    </xf>
    <xf numFmtId="9" fontId="0" fillId="36" borderId="26" xfId="0" applyNumberFormat="1" applyFill="1" applyBorder="1" applyAlignment="1">
      <alignment horizontal="center"/>
    </xf>
    <xf numFmtId="0" fontId="0" fillId="0" borderId="24" xfId="0" applyFont="1" applyFill="1" applyBorder="1" applyAlignment="1">
      <alignment horizontal="center"/>
    </xf>
    <xf numFmtId="0" fontId="0" fillId="0" borderId="23" xfId="0" applyFill="1" applyBorder="1" applyAlignment="1">
      <alignment horizontal="center"/>
    </xf>
    <xf numFmtId="0" fontId="0" fillId="38" borderId="30" xfId="0" applyFill="1" applyBorder="1" applyAlignment="1">
      <alignment horizontal="center"/>
    </xf>
    <xf numFmtId="0" fontId="0" fillId="38" borderId="0" xfId="0" applyFill="1" applyBorder="1" applyAlignment="1">
      <alignment horizontal="center"/>
    </xf>
    <xf numFmtId="0" fontId="0" fillId="38" borderId="21" xfId="0" applyFill="1" applyBorder="1" applyAlignment="1">
      <alignment horizontal="center"/>
    </xf>
    <xf numFmtId="0" fontId="0" fillId="0" borderId="33" xfId="0" applyFill="1" applyBorder="1" applyAlignment="1">
      <alignment horizontal="center"/>
    </xf>
    <xf numFmtId="0" fontId="0" fillId="36" borderId="34" xfId="0" applyFill="1" applyBorder="1" applyAlignment="1">
      <alignment horizontal="center"/>
    </xf>
    <xf numFmtId="0" fontId="0" fillId="36" borderId="33" xfId="0" applyFill="1" applyBorder="1" applyAlignment="1">
      <alignment horizontal="center"/>
    </xf>
    <xf numFmtId="0" fontId="0" fillId="0" borderId="34" xfId="0" applyFill="1" applyBorder="1" applyAlignment="1">
      <alignment horizontal="center"/>
    </xf>
    <xf numFmtId="0" fontId="0" fillId="0" borderId="0" xfId="0" applyFill="1" applyAlignment="1">
      <alignment horizontal="right" vertical="top"/>
    </xf>
    <xf numFmtId="0" fontId="6" fillId="0" borderId="0" xfId="0" applyFont="1" applyAlignment="1">
      <alignment horizontal="center" vertical="top" wrapText="1"/>
    </xf>
    <xf numFmtId="0" fontId="6" fillId="0" borderId="0" xfId="0" applyFont="1" applyFill="1" applyAlignment="1">
      <alignment horizontal="center" vertical="top"/>
    </xf>
    <xf numFmtId="0" fontId="6" fillId="0" borderId="35" xfId="0" applyFont="1" applyBorder="1" applyAlignment="1">
      <alignment vertical="top"/>
    </xf>
    <xf numFmtId="0" fontId="0" fillId="0" borderId="35" xfId="0" applyBorder="1" applyAlignment="1">
      <alignment horizontal="center" vertical="top"/>
    </xf>
    <xf numFmtId="0" fontId="0" fillId="0" borderId="35" xfId="0" applyBorder="1" applyAlignment="1">
      <alignment vertical="top"/>
    </xf>
    <xf numFmtId="0" fontId="0" fillId="0" borderId="35" xfId="0" applyBorder="1" applyAlignment="1">
      <alignment vertical="top" wrapText="1"/>
    </xf>
    <xf numFmtId="0" fontId="0" fillId="0" borderId="35" xfId="0" applyBorder="1" applyAlignment="1" quotePrefix="1">
      <alignment horizontal="left" vertical="top" wrapText="1"/>
    </xf>
    <xf numFmtId="0" fontId="0" fillId="0" borderId="35" xfId="0" applyFont="1" applyBorder="1" applyAlignment="1">
      <alignment vertical="top"/>
    </xf>
    <xf numFmtId="0" fontId="0" fillId="0" borderId="35" xfId="0" applyBorder="1" applyAlignment="1">
      <alignment horizontal="left" vertical="top" wrapText="1" indent="1"/>
    </xf>
    <xf numFmtId="0" fontId="6" fillId="0" borderId="35" xfId="0" applyFont="1" applyFill="1" applyBorder="1" applyAlignment="1">
      <alignment vertical="top"/>
    </xf>
    <xf numFmtId="0" fontId="0" fillId="0" borderId="35" xfId="0" applyFill="1" applyBorder="1" applyAlignment="1">
      <alignment vertical="top"/>
    </xf>
    <xf numFmtId="0" fontId="0" fillId="0" borderId="35" xfId="0" applyFill="1" applyBorder="1" applyAlignment="1">
      <alignment vertical="top" wrapText="1"/>
    </xf>
    <xf numFmtId="0" fontId="6" fillId="37" borderId="35" xfId="0" applyFont="1" applyFill="1" applyBorder="1" applyAlignment="1">
      <alignment vertical="top"/>
    </xf>
    <xf numFmtId="0" fontId="0" fillId="37" borderId="35" xfId="0" applyFill="1" applyBorder="1" applyAlignment="1">
      <alignment vertical="top"/>
    </xf>
    <xf numFmtId="0" fontId="0" fillId="37" borderId="35" xfId="0" applyFill="1" applyBorder="1" applyAlignment="1">
      <alignment vertical="top" wrapText="1"/>
    </xf>
    <xf numFmtId="0" fontId="3" fillId="37" borderId="35" xfId="0" applyFont="1" applyFill="1" applyBorder="1" applyAlignment="1">
      <alignment vertical="top"/>
    </xf>
    <xf numFmtId="0" fontId="6" fillId="34" borderId="35" xfId="0" applyFont="1" applyFill="1" applyBorder="1" applyAlignment="1">
      <alignment vertical="top"/>
    </xf>
    <xf numFmtId="0" fontId="8" fillId="0" borderId="35" xfId="0" applyFont="1" applyBorder="1" applyAlignment="1">
      <alignment vertical="top"/>
    </xf>
    <xf numFmtId="0" fontId="6" fillId="0" borderId="35" xfId="0" applyFont="1" applyBorder="1" applyAlignment="1">
      <alignment vertical="top" wrapText="1"/>
    </xf>
    <xf numFmtId="0" fontId="0" fillId="0" borderId="35" xfId="0" applyFont="1" applyBorder="1" applyAlignment="1">
      <alignment horizontal="center" vertical="top"/>
    </xf>
    <xf numFmtId="0" fontId="0" fillId="0" borderId="35" xfId="0" applyFont="1" applyBorder="1" applyAlignment="1">
      <alignment horizontal="center" vertical="top"/>
    </xf>
    <xf numFmtId="0" fontId="0" fillId="0" borderId="35" xfId="0" applyFont="1" applyFill="1" applyBorder="1" applyAlignment="1">
      <alignment vertical="top" wrapText="1"/>
    </xf>
    <xf numFmtId="0" fontId="0" fillId="0" borderId="35" xfId="0" applyFill="1" applyBorder="1" applyAlignment="1" quotePrefix="1">
      <alignment horizontal="left" vertical="top" wrapText="1"/>
    </xf>
    <xf numFmtId="0" fontId="0" fillId="0" borderId="35" xfId="0" applyFont="1" applyBorder="1" applyAlignment="1" quotePrefix="1">
      <alignment horizontal="center" vertical="top"/>
    </xf>
    <xf numFmtId="0" fontId="0" fillId="0" borderId="35" xfId="0" applyBorder="1" applyAlignment="1">
      <alignment horizontal="left" vertical="top" wrapText="1"/>
    </xf>
    <xf numFmtId="0" fontId="0" fillId="0" borderId="35" xfId="0" applyFont="1" applyBorder="1" applyAlignment="1">
      <alignment vertical="top"/>
    </xf>
    <xf numFmtId="0" fontId="0" fillId="0" borderId="35" xfId="0" applyFont="1" applyBorder="1" applyAlignment="1">
      <alignment horizontal="left" vertical="top" wrapText="1" indent="1"/>
    </xf>
    <xf numFmtId="0" fontId="0" fillId="0" borderId="35" xfId="0" applyFont="1" applyBorder="1" applyAlignment="1">
      <alignment vertical="top" wrapText="1"/>
    </xf>
    <xf numFmtId="0" fontId="0" fillId="0" borderId="35" xfId="0" applyFont="1" applyBorder="1" applyAlignment="1" quotePrefix="1">
      <alignment horizontal="left" vertical="top" wrapText="1"/>
    </xf>
    <xf numFmtId="0" fontId="0" fillId="0" borderId="35" xfId="0" applyBorder="1" applyAlignment="1">
      <alignment horizontal="left" vertical="top" indent="2"/>
    </xf>
    <xf numFmtId="0" fontId="0" fillId="0" borderId="35" xfId="0" applyBorder="1" applyAlignment="1">
      <alignment horizontal="left" vertical="top" wrapText="1" indent="2"/>
    </xf>
    <xf numFmtId="0" fontId="13" fillId="0" borderId="35" xfId="0" applyFont="1" applyBorder="1" applyAlignment="1">
      <alignment vertical="top"/>
    </xf>
    <xf numFmtId="9" fontId="0" fillId="0" borderId="35" xfId="0" applyNumberFormat="1" applyFill="1" applyBorder="1" applyAlignment="1">
      <alignment horizontal="center" vertical="top"/>
    </xf>
    <xf numFmtId="0" fontId="0" fillId="36" borderId="35" xfId="0" applyFill="1" applyBorder="1" applyAlignment="1">
      <alignment horizontal="center" vertical="top"/>
    </xf>
    <xf numFmtId="0" fontId="0" fillId="0" borderId="35" xfId="0" applyBorder="1" applyAlignment="1" quotePrefix="1">
      <alignment horizontal="right" vertical="top"/>
    </xf>
    <xf numFmtId="9" fontId="7" fillId="0" borderId="35" xfId="0" applyNumberFormat="1" applyFont="1" applyFill="1" applyBorder="1" applyAlignment="1">
      <alignment horizontal="center" vertical="top"/>
    </xf>
    <xf numFmtId="0" fontId="7" fillId="0" borderId="0" xfId="0" applyFont="1" applyFill="1" applyAlignment="1">
      <alignment horizontal="center" vertical="top"/>
    </xf>
    <xf numFmtId="9" fontId="0" fillId="0" borderId="35" xfId="0" applyNumberFormat="1" applyBorder="1" applyAlignment="1">
      <alignment horizontal="center" vertical="top"/>
    </xf>
    <xf numFmtId="0" fontId="0" fillId="36" borderId="35" xfId="0" applyFont="1" applyFill="1" applyBorder="1" applyAlignment="1">
      <alignment horizontal="center" vertical="top"/>
    </xf>
    <xf numFmtId="0" fontId="0" fillId="0" borderId="35" xfId="0" applyFont="1" applyFill="1" applyBorder="1" applyAlignment="1" quotePrefix="1">
      <alignment horizontal="left" vertical="top" wrapText="1"/>
    </xf>
    <xf numFmtId="0" fontId="0" fillId="36" borderId="35" xfId="0" applyFill="1" applyBorder="1" applyAlignment="1" quotePrefix="1">
      <alignment horizontal="center" vertical="top"/>
    </xf>
    <xf numFmtId="0" fontId="0" fillId="0" borderId="35" xfId="0" applyFill="1" applyBorder="1" applyAlignment="1">
      <alignment horizontal="center" vertical="top"/>
    </xf>
    <xf numFmtId="0" fontId="9" fillId="0" borderId="35" xfId="0" applyFont="1" applyBorder="1" applyAlignment="1">
      <alignment horizontal="center" vertical="top"/>
    </xf>
    <xf numFmtId="0" fontId="9" fillId="0" borderId="35" xfId="0" applyFont="1" applyBorder="1" applyAlignment="1">
      <alignment vertical="top"/>
    </xf>
    <xf numFmtId="0" fontId="9" fillId="0" borderId="35" xfId="0" applyFont="1" applyBorder="1" applyAlignment="1">
      <alignment vertical="top" wrapText="1"/>
    </xf>
    <xf numFmtId="9" fontId="9" fillId="0" borderId="35" xfId="0" applyNumberFormat="1" applyFont="1" applyBorder="1" applyAlignment="1">
      <alignment horizontal="center" vertical="top"/>
    </xf>
    <xf numFmtId="0" fontId="9" fillId="0" borderId="35" xfId="0" applyFont="1" applyFill="1" applyBorder="1" applyAlignment="1">
      <alignment horizontal="center" vertical="top"/>
    </xf>
    <xf numFmtId="0" fontId="9" fillId="0" borderId="35" xfId="0" applyFont="1" applyFill="1" applyBorder="1" applyAlignment="1">
      <alignment horizontal="center" vertical="top" wrapText="1"/>
    </xf>
    <xf numFmtId="0" fontId="9" fillId="0" borderId="35" xfId="0" applyFont="1" applyFill="1" applyBorder="1" applyAlignment="1">
      <alignment vertical="top"/>
    </xf>
    <xf numFmtId="0" fontId="9" fillId="0" borderId="35" xfId="0" applyFont="1" applyFill="1" applyBorder="1" applyAlignment="1">
      <alignment vertical="top" wrapText="1"/>
    </xf>
    <xf numFmtId="9" fontId="9" fillId="0" borderId="35" xfId="0" applyNumberFormat="1" applyFont="1" applyFill="1" applyBorder="1" applyAlignment="1">
      <alignment horizontal="center" vertical="top" wrapText="1"/>
    </xf>
    <xf numFmtId="0" fontId="9" fillId="0" borderId="35" xfId="0" applyFont="1" applyBorder="1" applyAlignment="1">
      <alignment horizontal="center" vertical="top" wrapText="1"/>
    </xf>
    <xf numFmtId="9" fontId="9" fillId="0" borderId="35" xfId="0" applyNumberFormat="1" applyFont="1" applyFill="1" applyBorder="1" applyAlignment="1">
      <alignment horizontal="center" vertical="top"/>
    </xf>
    <xf numFmtId="9" fontId="9" fillId="0" borderId="35" xfId="0" applyNumberFormat="1" applyFont="1" applyBorder="1" applyAlignment="1">
      <alignment vertical="top"/>
    </xf>
    <xf numFmtId="9" fontId="9" fillId="0" borderId="35" xfId="55" applyFont="1" applyBorder="1" applyAlignment="1">
      <alignment horizontal="center" vertical="top" wrapText="1"/>
    </xf>
    <xf numFmtId="0" fontId="9" fillId="0" borderId="35" xfId="0" applyFont="1" applyBorder="1" applyAlignment="1">
      <alignment vertical="top"/>
    </xf>
    <xf numFmtId="0" fontId="9" fillId="0" borderId="35" xfId="0" applyFont="1" applyFill="1" applyBorder="1" applyAlignment="1">
      <alignment vertical="top" wrapText="1"/>
    </xf>
    <xf numFmtId="9" fontId="9" fillId="0" borderId="35" xfId="0" applyNumberFormat="1" applyFont="1" applyFill="1" applyBorder="1" applyAlignment="1">
      <alignment horizontal="center" vertical="top"/>
    </xf>
    <xf numFmtId="0" fontId="9" fillId="0" borderId="35" xfId="0" applyFont="1" applyFill="1" applyBorder="1" applyAlignment="1">
      <alignment vertical="top"/>
    </xf>
    <xf numFmtId="0" fontId="9" fillId="0" borderId="35" xfId="0" applyFont="1" applyFill="1" applyBorder="1" applyAlignment="1">
      <alignment horizontal="center" vertical="top"/>
    </xf>
    <xf numFmtId="9" fontId="9" fillId="0" borderId="35" xfId="55" applyFont="1" applyBorder="1" applyAlignment="1">
      <alignment vertical="top" wrapText="1"/>
    </xf>
    <xf numFmtId="9" fontId="9" fillId="0" borderId="35" xfId="55" applyFont="1" applyFill="1" applyBorder="1" applyAlignment="1">
      <alignment horizontal="center" vertical="top" wrapText="1"/>
    </xf>
    <xf numFmtId="9" fontId="7" fillId="0" borderId="35" xfId="0" applyNumberFormat="1" applyFont="1" applyFill="1" applyBorder="1" applyAlignment="1">
      <alignment horizontal="center"/>
    </xf>
    <xf numFmtId="0" fontId="0" fillId="36" borderId="35" xfId="0" applyFont="1" applyFill="1" applyBorder="1" applyAlignment="1">
      <alignment horizontal="center" vertical="top" wrapText="1"/>
    </xf>
    <xf numFmtId="9" fontId="0" fillId="0" borderId="35" xfId="55" applyFont="1" applyBorder="1" applyAlignment="1">
      <alignment horizontal="center" vertical="top" wrapText="1"/>
    </xf>
    <xf numFmtId="0" fontId="2" fillId="37" borderId="0" xfId="0" applyFont="1" applyFill="1" applyAlignment="1">
      <alignment horizontal="right" vertical="top"/>
    </xf>
    <xf numFmtId="0" fontId="2" fillId="37" borderId="0" xfId="0" applyFont="1" applyFill="1" applyAlignment="1">
      <alignment horizontal="left" vertical="top"/>
    </xf>
    <xf numFmtId="186" fontId="0" fillId="36" borderId="0" xfId="0" applyNumberFormat="1" applyFill="1" applyAlignment="1">
      <alignment horizontal="center" vertical="top"/>
    </xf>
    <xf numFmtId="9" fontId="0" fillId="35" borderId="36" xfId="55" applyFill="1" applyBorder="1" applyAlignment="1">
      <alignment vertical="top"/>
    </xf>
    <xf numFmtId="9" fontId="0" fillId="35" borderId="37" xfId="55" applyFill="1" applyBorder="1" applyAlignment="1">
      <alignment vertical="top"/>
    </xf>
    <xf numFmtId="9" fontId="9" fillId="0" borderId="0" xfId="55" applyFont="1" applyFill="1" applyAlignment="1">
      <alignment horizontal="center" vertical="top" wrapText="1"/>
    </xf>
    <xf numFmtId="9" fontId="0" fillId="0" borderId="0" xfId="55" applyAlignment="1">
      <alignment vertical="top"/>
    </xf>
    <xf numFmtId="9" fontId="0" fillId="35" borderId="18" xfId="55" applyFill="1" applyBorder="1" applyAlignment="1">
      <alignment vertical="top"/>
    </xf>
    <xf numFmtId="9" fontId="0" fillId="35" borderId="19" xfId="55" applyFill="1" applyBorder="1" applyAlignment="1">
      <alignment vertical="top"/>
    </xf>
    <xf numFmtId="9" fontId="0" fillId="36" borderId="0" xfId="55" applyFill="1" applyAlignment="1">
      <alignment horizontal="center" vertical="top"/>
    </xf>
    <xf numFmtId="9" fontId="0" fillId="35" borderId="33" xfId="55" applyFill="1" applyBorder="1" applyAlignment="1">
      <alignment vertical="top"/>
    </xf>
    <xf numFmtId="0" fontId="7" fillId="0" borderId="0" xfId="0" applyFont="1" applyAlignment="1">
      <alignment horizontal="center" vertical="top"/>
    </xf>
    <xf numFmtId="0" fontId="0" fillId="0" borderId="35" xfId="0" applyFill="1" applyBorder="1" applyAlignment="1" quotePrefix="1">
      <alignment horizontal="center" vertical="top"/>
    </xf>
    <xf numFmtId="9" fontId="0" fillId="0" borderId="35" xfId="55" applyFill="1" applyBorder="1" applyAlignment="1">
      <alignment horizontal="center" vertical="top"/>
    </xf>
    <xf numFmtId="9" fontId="0" fillId="0" borderId="35" xfId="55" applyBorder="1" applyAlignment="1">
      <alignment horizontal="center" vertical="top"/>
    </xf>
    <xf numFmtId="0" fontId="0" fillId="0" borderId="35" xfId="0" applyBorder="1" applyAlignment="1" quotePrefix="1">
      <alignment horizontal="left" vertical="top"/>
    </xf>
    <xf numFmtId="0" fontId="0" fillId="0" borderId="35" xfId="0" applyBorder="1" applyAlignment="1">
      <alignment horizontal="right" vertical="top"/>
    </xf>
    <xf numFmtId="9" fontId="0" fillId="0" borderId="35" xfId="0" applyNumberFormat="1" applyFill="1" applyBorder="1" applyAlignment="1" quotePrefix="1">
      <alignment horizontal="center" vertical="top"/>
    </xf>
    <xf numFmtId="0" fontId="0" fillId="39" borderId="35" xfId="0" applyFill="1" applyBorder="1" applyAlignment="1">
      <alignment horizontal="center" vertical="top"/>
    </xf>
    <xf numFmtId="0" fontId="0" fillId="0" borderId="35" xfId="0" applyBorder="1" applyAlignment="1">
      <alignment horizontal="left" vertical="top"/>
    </xf>
    <xf numFmtId="9" fontId="9" fillId="36" borderId="0" xfId="0" applyNumberFormat="1" applyFont="1" applyFill="1" applyAlignment="1" applyProtection="1">
      <alignment horizontal="center" vertical="top"/>
      <protection locked="0"/>
    </xf>
    <xf numFmtId="0" fontId="0" fillId="0" borderId="0" xfId="0" applyAlignment="1" applyProtection="1">
      <alignment vertical="top"/>
      <protection locked="0"/>
    </xf>
    <xf numFmtId="0" fontId="2" fillId="37" borderId="0" xfId="0" applyFont="1" applyFill="1" applyAlignment="1" applyProtection="1">
      <alignment horizontal="left" vertical="top"/>
      <protection locked="0"/>
    </xf>
    <xf numFmtId="0" fontId="0" fillId="0" borderId="0" xfId="0" applyAlignment="1" applyProtection="1">
      <alignment horizontal="center" vertical="top"/>
      <protection locked="0"/>
    </xf>
    <xf numFmtId="0" fontId="0" fillId="0" borderId="0" xfId="0" applyAlignment="1" applyProtection="1">
      <alignment vertical="top"/>
      <protection/>
    </xf>
    <xf numFmtId="0" fontId="0" fillId="0" borderId="0" xfId="0" applyFill="1" applyAlignment="1" applyProtection="1">
      <alignment horizontal="center" vertical="top"/>
      <protection locked="0"/>
    </xf>
    <xf numFmtId="0" fontId="0" fillId="36" borderId="0" xfId="0" applyFill="1" applyAlignment="1" applyProtection="1">
      <alignment horizontal="center" vertical="top"/>
      <protection locked="0"/>
    </xf>
    <xf numFmtId="0" fontId="7" fillId="0" borderId="0" xfId="0" applyFont="1" applyAlignment="1" applyProtection="1">
      <alignment vertical="top"/>
      <protection locked="0"/>
    </xf>
    <xf numFmtId="0" fontId="0" fillId="0" borderId="0" xfId="0" applyAlignment="1" applyProtection="1" quotePrefix="1">
      <alignment horizontal="center" vertical="top"/>
      <protection locked="0"/>
    </xf>
    <xf numFmtId="0" fontId="6" fillId="36" borderId="0" xfId="0" applyFont="1" applyFill="1" applyAlignment="1" applyProtection="1">
      <alignment horizontal="center" vertical="top"/>
      <protection locked="0"/>
    </xf>
    <xf numFmtId="9" fontId="0" fillId="36" borderId="0" xfId="0" applyNumberFormat="1" applyFill="1" applyAlignment="1" applyProtection="1">
      <alignment horizontal="center" vertical="top"/>
      <protection locked="0"/>
    </xf>
    <xf numFmtId="9" fontId="0" fillId="0" borderId="0" xfId="0" applyNumberFormat="1" applyAlignment="1" applyProtection="1">
      <alignment vertical="top"/>
      <protection locked="0"/>
    </xf>
    <xf numFmtId="9" fontId="7" fillId="0" borderId="0" xfId="0" applyNumberFormat="1" applyFont="1" applyFill="1" applyAlignment="1" applyProtection="1">
      <alignment horizontal="left" vertical="top"/>
      <protection locked="0"/>
    </xf>
    <xf numFmtId="9" fontId="0" fillId="36" borderId="0" xfId="0" applyNumberFormat="1" applyFill="1" applyBorder="1" applyAlignment="1" applyProtection="1">
      <alignment horizontal="center" vertical="top"/>
      <protection locked="0"/>
    </xf>
    <xf numFmtId="0" fontId="0" fillId="35" borderId="15" xfId="0" applyFont="1" applyFill="1" applyBorder="1" applyAlignment="1" applyProtection="1">
      <alignment horizontal="center" vertical="top"/>
      <protection locked="0"/>
    </xf>
    <xf numFmtId="0" fontId="0" fillId="35" borderId="16" xfId="0" applyFont="1" applyFill="1" applyBorder="1" applyAlignment="1" applyProtection="1">
      <alignment horizontal="center" vertical="top"/>
      <protection locked="0"/>
    </xf>
    <xf numFmtId="9" fontId="0" fillId="35" borderId="16" xfId="0" applyNumberFormat="1" applyFont="1" applyFill="1" applyBorder="1" applyAlignment="1" applyProtection="1" quotePrefix="1">
      <alignment horizontal="left" vertical="top"/>
      <protection locked="0"/>
    </xf>
    <xf numFmtId="0" fontId="0" fillId="35" borderId="16" xfId="0" applyFont="1" applyFill="1" applyBorder="1" applyAlignment="1" applyProtection="1">
      <alignment vertical="top"/>
      <protection locked="0"/>
    </xf>
    <xf numFmtId="9" fontId="0" fillId="35" borderId="17" xfId="0" applyNumberFormat="1" applyFont="1" applyFill="1" applyBorder="1" applyAlignment="1" applyProtection="1">
      <alignment vertical="top"/>
      <protection locked="0"/>
    </xf>
    <xf numFmtId="0" fontId="0" fillId="35" borderId="14" xfId="0" applyFont="1" applyFill="1" applyBorder="1" applyAlignment="1" applyProtection="1">
      <alignment horizontal="center" vertical="top"/>
      <protection locked="0"/>
    </xf>
    <xf numFmtId="0" fontId="0" fillId="35" borderId="0" xfId="0" applyFont="1" applyFill="1" applyBorder="1" applyAlignment="1" applyProtection="1">
      <alignment horizontal="center" vertical="top"/>
      <protection locked="0"/>
    </xf>
    <xf numFmtId="9" fontId="0" fillId="35" borderId="0" xfId="0" applyNumberFormat="1" applyFont="1" applyFill="1" applyBorder="1" applyAlignment="1" applyProtection="1">
      <alignment horizontal="center" vertical="top"/>
      <protection locked="0"/>
    </xf>
    <xf numFmtId="9" fontId="0" fillId="35" borderId="0" xfId="55" applyFont="1" applyFill="1" applyBorder="1" applyAlignment="1" applyProtection="1">
      <alignment vertical="top"/>
      <protection locked="0"/>
    </xf>
    <xf numFmtId="9" fontId="0" fillId="35" borderId="18" xfId="55" applyFont="1" applyFill="1" applyBorder="1" applyAlignment="1" applyProtection="1">
      <alignment vertical="top"/>
      <protection locked="0"/>
    </xf>
    <xf numFmtId="0" fontId="0" fillId="35" borderId="0" xfId="0" applyFont="1" applyFill="1" applyBorder="1" applyAlignment="1" applyProtection="1" quotePrefix="1">
      <alignment horizontal="center" vertical="top"/>
      <protection locked="0"/>
    </xf>
    <xf numFmtId="0" fontId="0" fillId="35" borderId="12" xfId="0" applyFont="1" applyFill="1" applyBorder="1" applyAlignment="1" applyProtection="1">
      <alignment horizontal="center" vertical="top"/>
      <protection locked="0"/>
    </xf>
    <xf numFmtId="0" fontId="0" fillId="35" borderId="13" xfId="0" applyFont="1" applyFill="1" applyBorder="1" applyAlignment="1" applyProtection="1" quotePrefix="1">
      <alignment horizontal="center" vertical="top"/>
      <protection locked="0"/>
    </xf>
    <xf numFmtId="0" fontId="0" fillId="35" borderId="13" xfId="0" applyFont="1" applyFill="1" applyBorder="1" applyAlignment="1" applyProtection="1">
      <alignment horizontal="center" vertical="top"/>
      <protection locked="0"/>
    </xf>
    <xf numFmtId="9" fontId="0" fillId="35" borderId="13" xfId="0" applyNumberFormat="1" applyFont="1" applyFill="1" applyBorder="1" applyAlignment="1" applyProtection="1">
      <alignment horizontal="center" vertical="top"/>
      <protection locked="0"/>
    </xf>
    <xf numFmtId="9" fontId="0" fillId="35" borderId="13" xfId="55" applyFont="1" applyFill="1" applyBorder="1" applyAlignment="1" applyProtection="1">
      <alignment vertical="top"/>
      <protection locked="0"/>
    </xf>
    <xf numFmtId="9" fontId="0" fillId="35" borderId="19" xfId="55" applyFont="1" applyFill="1" applyBorder="1" applyAlignment="1" applyProtection="1">
      <alignment vertical="top"/>
      <protection locked="0"/>
    </xf>
    <xf numFmtId="0" fontId="0" fillId="35" borderId="14" xfId="0" applyFont="1" applyFill="1" applyBorder="1" applyAlignment="1" applyProtection="1" quotePrefix="1">
      <alignment horizontal="center" vertical="top"/>
      <protection locked="0"/>
    </xf>
    <xf numFmtId="9" fontId="0" fillId="35" borderId="16" xfId="0" applyNumberFormat="1" applyFont="1" applyFill="1" applyBorder="1" applyAlignment="1" applyProtection="1">
      <alignment horizontal="center" vertical="top"/>
      <protection locked="0"/>
    </xf>
    <xf numFmtId="0" fontId="0" fillId="0" borderId="16" xfId="0" applyBorder="1" applyAlignment="1" applyProtection="1">
      <alignment vertical="top"/>
      <protection locked="0"/>
    </xf>
    <xf numFmtId="9" fontId="0" fillId="35" borderId="17" xfId="55" applyFont="1" applyFill="1" applyBorder="1" applyAlignment="1" applyProtection="1">
      <alignment vertical="top"/>
      <protection locked="0"/>
    </xf>
    <xf numFmtId="0" fontId="0" fillId="0" borderId="0" xfId="0" applyBorder="1" applyAlignment="1" applyProtection="1">
      <alignment vertical="top"/>
      <protection locked="0"/>
    </xf>
    <xf numFmtId="0" fontId="0" fillId="0" borderId="14" xfId="0" applyBorder="1" applyAlignment="1" applyProtection="1" quotePrefix="1">
      <alignment horizontal="center" vertical="top"/>
      <protection locked="0"/>
    </xf>
    <xf numFmtId="0" fontId="0" fillId="0" borderId="0" xfId="0" applyBorder="1" applyAlignment="1" applyProtection="1" quotePrefix="1">
      <alignment horizontal="center" vertical="top"/>
      <protection locked="0"/>
    </xf>
    <xf numFmtId="0" fontId="0" fillId="0" borderId="0" xfId="0" applyBorder="1" applyAlignment="1" applyProtection="1">
      <alignment horizontal="center" vertical="top"/>
      <protection locked="0"/>
    </xf>
    <xf numFmtId="0" fontId="0" fillId="0" borderId="12" xfId="0" applyBorder="1" applyAlignment="1" applyProtection="1" quotePrefix="1">
      <alignment horizontal="center" vertical="top"/>
      <protection locked="0"/>
    </xf>
    <xf numFmtId="0" fontId="0" fillId="0" borderId="13" xfId="0" applyBorder="1" applyAlignment="1" applyProtection="1">
      <alignment horizontal="center" vertical="top"/>
      <protection locked="0"/>
    </xf>
    <xf numFmtId="0" fontId="0" fillId="0" borderId="13" xfId="0" applyBorder="1" applyAlignment="1" applyProtection="1" quotePrefix="1">
      <alignment horizontal="center" vertical="top"/>
      <protection locked="0"/>
    </xf>
    <xf numFmtId="0" fontId="0" fillId="0" borderId="13" xfId="0" applyBorder="1" applyAlignment="1" applyProtection="1">
      <alignment vertical="top"/>
      <protection locked="0"/>
    </xf>
    <xf numFmtId="0" fontId="7" fillId="36" borderId="0" xfId="0" applyFont="1" applyFill="1" applyAlignment="1" applyProtection="1">
      <alignment horizontal="center" vertical="top"/>
      <protection locked="0"/>
    </xf>
    <xf numFmtId="186" fontId="0" fillId="36" borderId="0" xfId="0" applyNumberFormat="1" applyFill="1" applyAlignment="1" applyProtection="1">
      <alignment horizontal="center" vertical="top"/>
      <protection locked="0"/>
    </xf>
    <xf numFmtId="0" fontId="0" fillId="0" borderId="0" xfId="0" applyFont="1" applyFill="1" applyAlignment="1" applyProtection="1">
      <alignment vertical="top" wrapText="1"/>
      <protection/>
    </xf>
    <xf numFmtId="0" fontId="0" fillId="0" borderId="0" xfId="0" applyFont="1" applyFill="1" applyAlignment="1" applyProtection="1">
      <alignment vertical="top" wrapText="1"/>
      <protection locked="0"/>
    </xf>
    <xf numFmtId="9" fontId="0" fillId="35" borderId="35" xfId="55" applyFill="1" applyBorder="1" applyAlignment="1" applyProtection="1">
      <alignment vertical="top"/>
      <protection locked="0"/>
    </xf>
    <xf numFmtId="0" fontId="0" fillId="0" borderId="0" xfId="0" applyFont="1" applyFill="1" applyBorder="1" applyAlignment="1" applyProtection="1">
      <alignment vertical="top" wrapText="1"/>
      <protection locked="0"/>
    </xf>
    <xf numFmtId="0" fontId="0" fillId="36" borderId="0" xfId="0" applyFill="1" applyAlignment="1" applyProtection="1">
      <alignment vertical="top"/>
      <protection locked="0"/>
    </xf>
    <xf numFmtId="9" fontId="9" fillId="36" borderId="0" xfId="0" applyNumberFormat="1" applyFont="1" applyFill="1" applyAlignment="1" applyProtection="1">
      <alignment horizontal="center" vertical="top"/>
      <protection locked="0"/>
    </xf>
    <xf numFmtId="9" fontId="9" fillId="0" borderId="0" xfId="0" applyNumberFormat="1" applyFont="1" applyAlignment="1" applyProtection="1">
      <alignment vertical="top"/>
      <protection locked="0"/>
    </xf>
    <xf numFmtId="9" fontId="9" fillId="36" borderId="0" xfId="0" applyNumberFormat="1" applyFont="1" applyFill="1" applyAlignment="1" applyProtection="1">
      <alignment horizontal="center" vertical="top" wrapText="1"/>
      <protection locked="0"/>
    </xf>
    <xf numFmtId="9" fontId="9" fillId="36" borderId="0" xfId="55" applyFont="1" applyFill="1" applyAlignment="1" applyProtection="1">
      <alignment horizontal="center" vertical="top" wrapText="1"/>
      <protection locked="0"/>
    </xf>
    <xf numFmtId="9" fontId="0" fillId="0" borderId="0" xfId="0" applyNumberFormat="1" applyAlignment="1" applyProtection="1">
      <alignment vertical="top"/>
      <protection/>
    </xf>
    <xf numFmtId="0" fontId="0" fillId="35" borderId="12" xfId="0" applyFont="1" applyFill="1" applyBorder="1" applyAlignment="1" applyProtection="1" quotePrefix="1">
      <alignment horizontal="center" vertical="top"/>
      <protection locked="0"/>
    </xf>
    <xf numFmtId="0" fontId="9" fillId="0" borderId="0" xfId="0" applyFont="1" applyAlignment="1" applyProtection="1">
      <alignment vertical="top" wrapText="1"/>
      <protection locked="0"/>
    </xf>
    <xf numFmtId="0" fontId="9" fillId="0" borderId="0" xfId="0" applyFont="1" applyFill="1" applyAlignment="1" applyProtection="1">
      <alignment vertical="top"/>
      <protection locked="0"/>
    </xf>
    <xf numFmtId="0" fontId="9" fillId="0" borderId="0" xfId="0" applyFont="1" applyFill="1" applyAlignment="1" applyProtection="1">
      <alignment vertical="top"/>
      <protection/>
    </xf>
    <xf numFmtId="0" fontId="9" fillId="0" borderId="0" xfId="0" applyFont="1" applyAlignment="1" applyProtection="1">
      <alignment vertical="top"/>
      <protection locked="0"/>
    </xf>
    <xf numFmtId="9" fontId="0" fillId="0" borderId="0" xfId="55" applyAlignment="1" applyProtection="1">
      <alignment vertical="top"/>
      <protection locked="0"/>
    </xf>
    <xf numFmtId="9" fontId="9" fillId="0" borderId="0" xfId="55" applyFont="1" applyAlignment="1" applyProtection="1">
      <alignment horizontal="center" vertical="top" wrapText="1"/>
      <protection locked="0"/>
    </xf>
    <xf numFmtId="0" fontId="0" fillId="0" borderId="0" xfId="0" applyFill="1" applyAlignment="1" applyProtection="1">
      <alignment vertical="top"/>
      <protection locked="0"/>
    </xf>
    <xf numFmtId="0" fontId="0" fillId="35" borderId="15" xfId="0" applyFill="1" applyBorder="1" applyAlignment="1" applyProtection="1">
      <alignment horizontal="center" vertical="top"/>
      <protection locked="0"/>
    </xf>
    <xf numFmtId="0" fontId="0" fillId="35" borderId="16" xfId="0" applyFill="1" applyBorder="1" applyAlignment="1" applyProtection="1">
      <alignment horizontal="center" vertical="top"/>
      <protection locked="0"/>
    </xf>
    <xf numFmtId="9" fontId="0" fillId="35" borderId="16" xfId="0" applyNumberFormat="1" applyFill="1" applyBorder="1" applyAlignment="1" applyProtection="1">
      <alignment horizontal="center" vertical="top"/>
      <protection locked="0"/>
    </xf>
    <xf numFmtId="0" fontId="0" fillId="35" borderId="16" xfId="0" applyFill="1" applyBorder="1" applyAlignment="1" applyProtection="1">
      <alignment vertical="top"/>
      <protection locked="0"/>
    </xf>
    <xf numFmtId="9" fontId="0" fillId="35" borderId="17" xfId="0" applyNumberFormat="1" applyFill="1" applyBorder="1" applyAlignment="1" applyProtection="1">
      <alignment vertical="top"/>
      <protection locked="0"/>
    </xf>
    <xf numFmtId="9" fontId="0" fillId="35" borderId="17" xfId="55" applyFill="1" applyBorder="1" applyAlignment="1" applyProtection="1">
      <alignment vertical="top"/>
      <protection locked="0"/>
    </xf>
    <xf numFmtId="0" fontId="0" fillId="35" borderId="14" xfId="0" applyFill="1" applyBorder="1" applyAlignment="1" applyProtection="1">
      <alignment horizontal="center" vertical="top"/>
      <protection locked="0"/>
    </xf>
    <xf numFmtId="0" fontId="0" fillId="35" borderId="0" xfId="0" applyFill="1" applyBorder="1" applyAlignment="1" applyProtection="1" quotePrefix="1">
      <alignment horizontal="center" vertical="top"/>
      <protection locked="0"/>
    </xf>
    <xf numFmtId="0" fontId="0" fillId="35" borderId="0" xfId="0" applyFill="1" applyBorder="1" applyAlignment="1" applyProtection="1">
      <alignment horizontal="center" vertical="top"/>
      <protection locked="0"/>
    </xf>
    <xf numFmtId="9" fontId="0" fillId="35" borderId="0" xfId="0" applyNumberFormat="1" applyFill="1" applyBorder="1" applyAlignment="1" applyProtection="1">
      <alignment horizontal="center" vertical="top"/>
      <protection locked="0"/>
    </xf>
    <xf numFmtId="0" fontId="0" fillId="35" borderId="0" xfId="0" applyFill="1" applyBorder="1" applyAlignment="1" applyProtection="1">
      <alignment vertical="top"/>
      <protection locked="0"/>
    </xf>
    <xf numFmtId="9" fontId="0" fillId="35" borderId="18" xfId="55" applyFill="1" applyBorder="1" applyAlignment="1" applyProtection="1">
      <alignment vertical="top"/>
      <protection locked="0"/>
    </xf>
    <xf numFmtId="0" fontId="0" fillId="0" borderId="15" xfId="0" applyBorder="1" applyAlignment="1" applyProtection="1">
      <alignment horizontal="center" vertical="top"/>
      <protection locked="0"/>
    </xf>
    <xf numFmtId="0" fontId="0" fillId="0" borderId="16" xfId="0" applyBorder="1" applyAlignment="1" applyProtection="1">
      <alignment horizontal="center" vertical="top"/>
      <protection locked="0"/>
    </xf>
    <xf numFmtId="0" fontId="0" fillId="0" borderId="14" xfId="0" applyBorder="1" applyAlignment="1" applyProtection="1">
      <alignment horizontal="center" vertical="top"/>
      <protection locked="0"/>
    </xf>
    <xf numFmtId="9" fontId="0" fillId="35" borderId="13" xfId="0" applyNumberFormat="1" applyFill="1" applyBorder="1" applyAlignment="1" applyProtection="1">
      <alignment horizontal="center" vertical="top"/>
      <protection locked="0"/>
    </xf>
    <xf numFmtId="9" fontId="0" fillId="35" borderId="19" xfId="55" applyFill="1" applyBorder="1" applyAlignment="1" applyProtection="1">
      <alignment vertical="top"/>
      <protection locked="0"/>
    </xf>
    <xf numFmtId="9" fontId="0" fillId="36" borderId="0" xfId="55" applyFill="1" applyAlignment="1" applyProtection="1">
      <alignment horizontal="center" vertical="top"/>
      <protection locked="0"/>
    </xf>
    <xf numFmtId="9" fontId="0" fillId="35" borderId="36" xfId="55" applyFill="1" applyBorder="1" applyAlignment="1" applyProtection="1">
      <alignment vertical="top"/>
      <protection locked="0"/>
    </xf>
    <xf numFmtId="9" fontId="0" fillId="35" borderId="33" xfId="55" applyFill="1" applyBorder="1" applyAlignment="1" applyProtection="1">
      <alignment vertical="top"/>
      <protection locked="0"/>
    </xf>
    <xf numFmtId="9" fontId="0" fillId="35" borderId="37" xfId="55" applyFill="1" applyBorder="1" applyAlignment="1" applyProtection="1">
      <alignment vertical="top"/>
      <protection locked="0"/>
    </xf>
    <xf numFmtId="0" fontId="7" fillId="0" borderId="0" xfId="0" applyFont="1" applyAlignment="1" applyProtection="1">
      <alignment horizontal="left" vertical="top"/>
      <protection locked="0"/>
    </xf>
    <xf numFmtId="9" fontId="0" fillId="35" borderId="0" xfId="0" applyNumberFormat="1" applyFill="1" applyBorder="1" applyAlignment="1" applyProtection="1">
      <alignment vertical="top"/>
      <protection locked="0"/>
    </xf>
    <xf numFmtId="9" fontId="0" fillId="35" borderId="0" xfId="55" applyFill="1" applyBorder="1" applyAlignment="1" applyProtection="1">
      <alignment vertical="top"/>
      <protection locked="0"/>
    </xf>
    <xf numFmtId="0" fontId="7" fillId="0" borderId="0" xfId="0" applyFont="1" applyAlignment="1" applyProtection="1">
      <alignment horizontal="center" vertical="top"/>
      <protection locked="0"/>
    </xf>
    <xf numFmtId="0" fontId="9" fillId="0" borderId="0" xfId="0" applyFont="1" applyAlignment="1" applyProtection="1">
      <alignment vertical="top"/>
      <protection/>
    </xf>
    <xf numFmtId="0" fontId="0" fillId="35" borderId="15" xfId="0" applyFont="1" applyFill="1" applyBorder="1" applyAlignment="1" applyProtection="1">
      <alignment horizontal="center" vertical="top"/>
      <protection locked="0"/>
    </xf>
    <xf numFmtId="0" fontId="0" fillId="35" borderId="16" xfId="0" applyFont="1" applyFill="1" applyBorder="1" applyAlignment="1" applyProtection="1">
      <alignment horizontal="center" vertical="top"/>
      <protection locked="0"/>
    </xf>
    <xf numFmtId="0" fontId="0" fillId="0" borderId="16" xfId="0" applyFont="1" applyBorder="1" applyAlignment="1" applyProtection="1">
      <alignment vertical="top"/>
      <protection locked="0"/>
    </xf>
    <xf numFmtId="0" fontId="0" fillId="35" borderId="14" xfId="0" applyFont="1" applyFill="1" applyBorder="1" applyAlignment="1" applyProtection="1">
      <alignment horizontal="center" vertical="top"/>
      <protection locked="0"/>
    </xf>
    <xf numFmtId="0" fontId="0" fillId="35" borderId="0" xfId="0" applyFont="1" applyFill="1" applyBorder="1" applyAlignment="1" applyProtection="1">
      <alignment horizontal="center" vertical="top"/>
      <protection locked="0"/>
    </xf>
    <xf numFmtId="0" fontId="0" fillId="0" borderId="0" xfId="0" applyFont="1" applyBorder="1" applyAlignment="1" applyProtection="1">
      <alignment vertical="top"/>
      <protection locked="0"/>
    </xf>
    <xf numFmtId="0" fontId="0" fillId="35" borderId="12" xfId="0" applyFont="1" applyFill="1" applyBorder="1" applyAlignment="1" applyProtection="1">
      <alignment horizontal="center" vertical="top"/>
      <protection locked="0"/>
    </xf>
    <xf numFmtId="0" fontId="0" fillId="35" borderId="13" xfId="0" applyFont="1" applyFill="1" applyBorder="1" applyAlignment="1" applyProtection="1">
      <alignment horizontal="center" vertical="top"/>
      <protection locked="0"/>
    </xf>
    <xf numFmtId="0" fontId="0" fillId="0" borderId="13" xfId="0" applyFont="1" applyBorder="1" applyAlignment="1" applyProtection="1">
      <alignment horizontal="center" vertical="top"/>
      <protection locked="0"/>
    </xf>
    <xf numFmtId="0" fontId="0" fillId="0" borderId="13" xfId="0" applyFont="1" applyBorder="1" applyAlignment="1" applyProtection="1">
      <alignment vertical="top"/>
      <protection locked="0"/>
    </xf>
    <xf numFmtId="9" fontId="7" fillId="0" borderId="0" xfId="0" applyNumberFormat="1" applyFont="1" applyFill="1" applyAlignment="1" applyProtection="1">
      <alignment horizontal="center"/>
      <protection locked="0"/>
    </xf>
    <xf numFmtId="0" fontId="8" fillId="37" borderId="0" xfId="0" applyNumberFormat="1" applyFont="1" applyFill="1" applyAlignment="1">
      <alignment horizontal="center" vertical="top"/>
    </xf>
    <xf numFmtId="0" fontId="6" fillId="34" borderId="0" xfId="0" applyFont="1" applyFill="1" applyAlignment="1">
      <alignment horizontal="left" vertical="top"/>
    </xf>
    <xf numFmtId="0" fontId="13" fillId="0" borderId="35" xfId="0" applyFont="1" applyBorder="1" applyAlignment="1">
      <alignment horizontal="center" vertical="top"/>
    </xf>
    <xf numFmtId="0" fontId="7" fillId="40" borderId="0" xfId="0" applyFont="1" applyFill="1" applyAlignment="1">
      <alignment horizontal="left" vertical="top" wrapText="1"/>
    </xf>
    <xf numFmtId="0" fontId="0" fillId="0" borderId="38" xfId="0" applyFill="1" applyBorder="1" applyAlignment="1">
      <alignment horizontal="center"/>
    </xf>
    <xf numFmtId="0" fontId="0" fillId="0" borderId="39" xfId="0" applyFill="1" applyBorder="1" applyAlignment="1">
      <alignment horizontal="center"/>
    </xf>
    <xf numFmtId="0" fontId="0" fillId="0" borderId="40" xfId="0" applyFill="1" applyBorder="1" applyAlignment="1">
      <alignment horizontal="center"/>
    </xf>
    <xf numFmtId="0" fontId="0" fillId="0" borderId="41" xfId="0" applyFill="1" applyBorder="1" applyAlignment="1">
      <alignment horizontal="center" vertical="top" wrapText="1"/>
    </xf>
    <xf numFmtId="0" fontId="0" fillId="0" borderId="12" xfId="0" applyFill="1" applyBorder="1" applyAlignment="1">
      <alignment horizontal="center" vertical="top" wrapText="1"/>
    </xf>
    <xf numFmtId="0" fontId="0" fillId="0" borderId="42" xfId="0" applyFill="1" applyBorder="1" applyAlignment="1">
      <alignment horizontal="center" vertical="top" wrapText="1"/>
    </xf>
    <xf numFmtId="0" fontId="0" fillId="0" borderId="43" xfId="0" applyFill="1" applyBorder="1" applyAlignment="1">
      <alignment horizontal="center" vertical="top" wrapText="1"/>
    </xf>
    <xf numFmtId="0" fontId="0" fillId="0" borderId="44" xfId="0" applyFill="1" applyBorder="1" applyAlignment="1">
      <alignment horizontal="center" vertical="top" wrapText="1"/>
    </xf>
    <xf numFmtId="0" fontId="0" fillId="0" borderId="33" xfId="0" applyFill="1" applyBorder="1" applyAlignment="1">
      <alignment horizontal="center" vertical="top" wrapText="1"/>
    </xf>
    <xf numFmtId="0" fontId="0" fillId="0" borderId="34" xfId="0" applyFill="1" applyBorder="1" applyAlignment="1">
      <alignment horizontal="center" vertical="top" wrapText="1"/>
    </xf>
    <xf numFmtId="0" fontId="0" fillId="0" borderId="0" xfId="0" applyAlignment="1" quotePrefix="1">
      <alignment horizontal="left" vertical="top" wrapText="1"/>
    </xf>
    <xf numFmtId="0" fontId="0" fillId="0" borderId="0" xfId="0" applyAlignment="1">
      <alignment horizontal="left" vertical="top" wrapText="1"/>
    </xf>
    <xf numFmtId="0" fontId="0" fillId="36" borderId="35" xfId="0" applyFill="1" applyBorder="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14</xdr:row>
      <xdr:rowOff>0</xdr:rowOff>
    </xdr:from>
    <xdr:to>
      <xdr:col>7</xdr:col>
      <xdr:colOff>0</xdr:colOff>
      <xdr:row>18</xdr:row>
      <xdr:rowOff>0</xdr:rowOff>
    </xdr:to>
    <xdr:sp>
      <xdr:nvSpPr>
        <xdr:cNvPr id="1" name="Line 1"/>
        <xdr:cNvSpPr>
          <a:spLocks/>
        </xdr:cNvSpPr>
      </xdr:nvSpPr>
      <xdr:spPr>
        <a:xfrm>
          <a:off x="8353425" y="3028950"/>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16</xdr:row>
      <xdr:rowOff>0</xdr:rowOff>
    </xdr:from>
    <xdr:to>
      <xdr:col>7</xdr:col>
      <xdr:colOff>466725</xdr:colOff>
      <xdr:row>16</xdr:row>
      <xdr:rowOff>0</xdr:rowOff>
    </xdr:to>
    <xdr:sp>
      <xdr:nvSpPr>
        <xdr:cNvPr id="2" name="Line 2"/>
        <xdr:cNvSpPr>
          <a:spLocks/>
        </xdr:cNvSpPr>
      </xdr:nvSpPr>
      <xdr:spPr>
        <a:xfrm flipV="1">
          <a:off x="8353425" y="335280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14</xdr:row>
      <xdr:rowOff>0</xdr:rowOff>
    </xdr:from>
    <xdr:to>
      <xdr:col>7</xdr:col>
      <xdr:colOff>466725</xdr:colOff>
      <xdr:row>16</xdr:row>
      <xdr:rowOff>0</xdr:rowOff>
    </xdr:to>
    <xdr:sp>
      <xdr:nvSpPr>
        <xdr:cNvPr id="3" name="Line 3"/>
        <xdr:cNvSpPr>
          <a:spLocks/>
        </xdr:cNvSpPr>
      </xdr:nvSpPr>
      <xdr:spPr>
        <a:xfrm flipV="1">
          <a:off x="8820150" y="3028950"/>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40</xdr:row>
      <xdr:rowOff>9525</xdr:rowOff>
    </xdr:from>
    <xdr:to>
      <xdr:col>7</xdr:col>
      <xdr:colOff>466725</xdr:colOff>
      <xdr:row>40</xdr:row>
      <xdr:rowOff>9525</xdr:rowOff>
    </xdr:to>
    <xdr:sp>
      <xdr:nvSpPr>
        <xdr:cNvPr id="4" name="Line 4"/>
        <xdr:cNvSpPr>
          <a:spLocks/>
        </xdr:cNvSpPr>
      </xdr:nvSpPr>
      <xdr:spPr>
        <a:xfrm flipV="1">
          <a:off x="8353425" y="726757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45</xdr:row>
      <xdr:rowOff>0</xdr:rowOff>
    </xdr:from>
    <xdr:to>
      <xdr:col>7</xdr:col>
      <xdr:colOff>0</xdr:colOff>
      <xdr:row>49</xdr:row>
      <xdr:rowOff>0</xdr:rowOff>
    </xdr:to>
    <xdr:sp>
      <xdr:nvSpPr>
        <xdr:cNvPr id="5" name="Line 5"/>
        <xdr:cNvSpPr>
          <a:spLocks/>
        </xdr:cNvSpPr>
      </xdr:nvSpPr>
      <xdr:spPr>
        <a:xfrm>
          <a:off x="8353425" y="7915275"/>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39</xdr:row>
      <xdr:rowOff>0</xdr:rowOff>
    </xdr:from>
    <xdr:to>
      <xdr:col>7</xdr:col>
      <xdr:colOff>0</xdr:colOff>
      <xdr:row>41</xdr:row>
      <xdr:rowOff>0</xdr:rowOff>
    </xdr:to>
    <xdr:sp>
      <xdr:nvSpPr>
        <xdr:cNvPr id="6" name="Line 6"/>
        <xdr:cNvSpPr>
          <a:spLocks/>
        </xdr:cNvSpPr>
      </xdr:nvSpPr>
      <xdr:spPr>
        <a:xfrm>
          <a:off x="8353425" y="7096125"/>
          <a:ext cx="0" cy="657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39</xdr:row>
      <xdr:rowOff>0</xdr:rowOff>
    </xdr:from>
    <xdr:to>
      <xdr:col>7</xdr:col>
      <xdr:colOff>466725</xdr:colOff>
      <xdr:row>40</xdr:row>
      <xdr:rowOff>0</xdr:rowOff>
    </xdr:to>
    <xdr:sp>
      <xdr:nvSpPr>
        <xdr:cNvPr id="7" name="Line 7"/>
        <xdr:cNvSpPr>
          <a:spLocks/>
        </xdr:cNvSpPr>
      </xdr:nvSpPr>
      <xdr:spPr>
        <a:xfrm flipV="1">
          <a:off x="8820150" y="709612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47</xdr:row>
      <xdr:rowOff>0</xdr:rowOff>
    </xdr:from>
    <xdr:to>
      <xdr:col>7</xdr:col>
      <xdr:colOff>466725</xdr:colOff>
      <xdr:row>47</xdr:row>
      <xdr:rowOff>0</xdr:rowOff>
    </xdr:to>
    <xdr:sp>
      <xdr:nvSpPr>
        <xdr:cNvPr id="8" name="Line 8"/>
        <xdr:cNvSpPr>
          <a:spLocks/>
        </xdr:cNvSpPr>
      </xdr:nvSpPr>
      <xdr:spPr>
        <a:xfrm flipV="1">
          <a:off x="8353425" y="823912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45</xdr:row>
      <xdr:rowOff>0</xdr:rowOff>
    </xdr:from>
    <xdr:to>
      <xdr:col>7</xdr:col>
      <xdr:colOff>466725</xdr:colOff>
      <xdr:row>47</xdr:row>
      <xdr:rowOff>0</xdr:rowOff>
    </xdr:to>
    <xdr:sp>
      <xdr:nvSpPr>
        <xdr:cNvPr id="9" name="Line 9"/>
        <xdr:cNvSpPr>
          <a:spLocks/>
        </xdr:cNvSpPr>
      </xdr:nvSpPr>
      <xdr:spPr>
        <a:xfrm flipV="1">
          <a:off x="8820150" y="79152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81</xdr:row>
      <xdr:rowOff>9525</xdr:rowOff>
    </xdr:from>
    <xdr:to>
      <xdr:col>7</xdr:col>
      <xdr:colOff>466725</xdr:colOff>
      <xdr:row>81</xdr:row>
      <xdr:rowOff>9525</xdr:rowOff>
    </xdr:to>
    <xdr:sp>
      <xdr:nvSpPr>
        <xdr:cNvPr id="10" name="Line 10"/>
        <xdr:cNvSpPr>
          <a:spLocks/>
        </xdr:cNvSpPr>
      </xdr:nvSpPr>
      <xdr:spPr>
        <a:xfrm flipV="1">
          <a:off x="8353425" y="1416367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80</xdr:row>
      <xdr:rowOff>0</xdr:rowOff>
    </xdr:from>
    <xdr:to>
      <xdr:col>7</xdr:col>
      <xdr:colOff>0</xdr:colOff>
      <xdr:row>82</xdr:row>
      <xdr:rowOff>0</xdr:rowOff>
    </xdr:to>
    <xdr:sp>
      <xdr:nvSpPr>
        <xdr:cNvPr id="11" name="Line 11"/>
        <xdr:cNvSpPr>
          <a:spLocks/>
        </xdr:cNvSpPr>
      </xdr:nvSpPr>
      <xdr:spPr>
        <a:xfrm>
          <a:off x="8353425" y="13992225"/>
          <a:ext cx="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80</xdr:row>
      <xdr:rowOff>0</xdr:rowOff>
    </xdr:from>
    <xdr:to>
      <xdr:col>7</xdr:col>
      <xdr:colOff>466725</xdr:colOff>
      <xdr:row>81</xdr:row>
      <xdr:rowOff>0</xdr:rowOff>
    </xdr:to>
    <xdr:sp>
      <xdr:nvSpPr>
        <xdr:cNvPr id="12" name="Line 12"/>
        <xdr:cNvSpPr>
          <a:spLocks/>
        </xdr:cNvSpPr>
      </xdr:nvSpPr>
      <xdr:spPr>
        <a:xfrm flipV="1">
          <a:off x="8820150" y="1399222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117</xdr:row>
      <xdr:rowOff>9525</xdr:rowOff>
    </xdr:from>
    <xdr:to>
      <xdr:col>7</xdr:col>
      <xdr:colOff>466725</xdr:colOff>
      <xdr:row>117</xdr:row>
      <xdr:rowOff>9525</xdr:rowOff>
    </xdr:to>
    <xdr:sp>
      <xdr:nvSpPr>
        <xdr:cNvPr id="13" name="Line 13"/>
        <xdr:cNvSpPr>
          <a:spLocks/>
        </xdr:cNvSpPr>
      </xdr:nvSpPr>
      <xdr:spPr>
        <a:xfrm flipV="1">
          <a:off x="8353425" y="2236470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116</xdr:row>
      <xdr:rowOff>0</xdr:rowOff>
    </xdr:from>
    <xdr:to>
      <xdr:col>7</xdr:col>
      <xdr:colOff>466725</xdr:colOff>
      <xdr:row>117</xdr:row>
      <xdr:rowOff>0</xdr:rowOff>
    </xdr:to>
    <xdr:sp>
      <xdr:nvSpPr>
        <xdr:cNvPr id="14" name="Line 14"/>
        <xdr:cNvSpPr>
          <a:spLocks/>
        </xdr:cNvSpPr>
      </xdr:nvSpPr>
      <xdr:spPr>
        <a:xfrm flipV="1">
          <a:off x="8820150" y="22021800"/>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116</xdr:row>
      <xdr:rowOff>9525</xdr:rowOff>
    </xdr:from>
    <xdr:to>
      <xdr:col>7</xdr:col>
      <xdr:colOff>0</xdr:colOff>
      <xdr:row>119</xdr:row>
      <xdr:rowOff>0</xdr:rowOff>
    </xdr:to>
    <xdr:sp>
      <xdr:nvSpPr>
        <xdr:cNvPr id="15" name="Line 15"/>
        <xdr:cNvSpPr>
          <a:spLocks/>
        </xdr:cNvSpPr>
      </xdr:nvSpPr>
      <xdr:spPr>
        <a:xfrm>
          <a:off x="8353425" y="22031325"/>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149</xdr:row>
      <xdr:rowOff>0</xdr:rowOff>
    </xdr:from>
    <xdr:to>
      <xdr:col>7</xdr:col>
      <xdr:colOff>466725</xdr:colOff>
      <xdr:row>149</xdr:row>
      <xdr:rowOff>0</xdr:rowOff>
    </xdr:to>
    <xdr:sp>
      <xdr:nvSpPr>
        <xdr:cNvPr id="16" name="Line 16"/>
        <xdr:cNvSpPr>
          <a:spLocks/>
        </xdr:cNvSpPr>
      </xdr:nvSpPr>
      <xdr:spPr>
        <a:xfrm flipV="1">
          <a:off x="8353425" y="3129915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147</xdr:row>
      <xdr:rowOff>0</xdr:rowOff>
    </xdr:from>
    <xdr:to>
      <xdr:col>7</xdr:col>
      <xdr:colOff>466725</xdr:colOff>
      <xdr:row>149</xdr:row>
      <xdr:rowOff>0</xdr:rowOff>
    </xdr:to>
    <xdr:sp>
      <xdr:nvSpPr>
        <xdr:cNvPr id="17" name="Line 17"/>
        <xdr:cNvSpPr>
          <a:spLocks/>
        </xdr:cNvSpPr>
      </xdr:nvSpPr>
      <xdr:spPr>
        <a:xfrm flipV="1">
          <a:off x="8820150" y="30975300"/>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147</xdr:row>
      <xdr:rowOff>0</xdr:rowOff>
    </xdr:from>
    <xdr:to>
      <xdr:col>7</xdr:col>
      <xdr:colOff>0</xdr:colOff>
      <xdr:row>152</xdr:row>
      <xdr:rowOff>0</xdr:rowOff>
    </xdr:to>
    <xdr:sp>
      <xdr:nvSpPr>
        <xdr:cNvPr id="18" name="Line 18"/>
        <xdr:cNvSpPr>
          <a:spLocks/>
        </xdr:cNvSpPr>
      </xdr:nvSpPr>
      <xdr:spPr>
        <a:xfrm>
          <a:off x="8353425" y="30975300"/>
          <a:ext cx="0"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164</xdr:row>
      <xdr:rowOff>0</xdr:rowOff>
    </xdr:from>
    <xdr:to>
      <xdr:col>7</xdr:col>
      <xdr:colOff>466725</xdr:colOff>
      <xdr:row>164</xdr:row>
      <xdr:rowOff>0</xdr:rowOff>
    </xdr:to>
    <xdr:sp>
      <xdr:nvSpPr>
        <xdr:cNvPr id="19" name="Line 19"/>
        <xdr:cNvSpPr>
          <a:spLocks/>
        </xdr:cNvSpPr>
      </xdr:nvSpPr>
      <xdr:spPr>
        <a:xfrm flipV="1">
          <a:off x="8353425" y="3439477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162</xdr:row>
      <xdr:rowOff>0</xdr:rowOff>
    </xdr:from>
    <xdr:to>
      <xdr:col>7</xdr:col>
      <xdr:colOff>466725</xdr:colOff>
      <xdr:row>164</xdr:row>
      <xdr:rowOff>0</xdr:rowOff>
    </xdr:to>
    <xdr:sp>
      <xdr:nvSpPr>
        <xdr:cNvPr id="20" name="Line 20"/>
        <xdr:cNvSpPr>
          <a:spLocks/>
        </xdr:cNvSpPr>
      </xdr:nvSpPr>
      <xdr:spPr>
        <a:xfrm flipV="1">
          <a:off x="8820150" y="3407092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162</xdr:row>
      <xdr:rowOff>0</xdr:rowOff>
    </xdr:from>
    <xdr:to>
      <xdr:col>7</xdr:col>
      <xdr:colOff>0</xdr:colOff>
      <xdr:row>166</xdr:row>
      <xdr:rowOff>0</xdr:rowOff>
    </xdr:to>
    <xdr:sp>
      <xdr:nvSpPr>
        <xdr:cNvPr id="21" name="Line 21"/>
        <xdr:cNvSpPr>
          <a:spLocks/>
        </xdr:cNvSpPr>
      </xdr:nvSpPr>
      <xdr:spPr>
        <a:xfrm>
          <a:off x="8353425" y="34070925"/>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195</xdr:row>
      <xdr:rowOff>0</xdr:rowOff>
    </xdr:from>
    <xdr:to>
      <xdr:col>7</xdr:col>
      <xdr:colOff>466725</xdr:colOff>
      <xdr:row>195</xdr:row>
      <xdr:rowOff>0</xdr:rowOff>
    </xdr:to>
    <xdr:sp>
      <xdr:nvSpPr>
        <xdr:cNvPr id="22" name="Line 22"/>
        <xdr:cNvSpPr>
          <a:spLocks/>
        </xdr:cNvSpPr>
      </xdr:nvSpPr>
      <xdr:spPr>
        <a:xfrm flipV="1">
          <a:off x="8353425" y="4117657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193</xdr:row>
      <xdr:rowOff>0</xdr:rowOff>
    </xdr:from>
    <xdr:to>
      <xdr:col>7</xdr:col>
      <xdr:colOff>466725</xdr:colOff>
      <xdr:row>195</xdr:row>
      <xdr:rowOff>0</xdr:rowOff>
    </xdr:to>
    <xdr:sp>
      <xdr:nvSpPr>
        <xdr:cNvPr id="23" name="Line 23"/>
        <xdr:cNvSpPr>
          <a:spLocks/>
        </xdr:cNvSpPr>
      </xdr:nvSpPr>
      <xdr:spPr>
        <a:xfrm flipV="1">
          <a:off x="8820150" y="4085272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193</xdr:row>
      <xdr:rowOff>0</xdr:rowOff>
    </xdr:from>
    <xdr:to>
      <xdr:col>7</xdr:col>
      <xdr:colOff>0</xdr:colOff>
      <xdr:row>197</xdr:row>
      <xdr:rowOff>0</xdr:rowOff>
    </xdr:to>
    <xdr:sp>
      <xdr:nvSpPr>
        <xdr:cNvPr id="24" name="Line 24"/>
        <xdr:cNvSpPr>
          <a:spLocks/>
        </xdr:cNvSpPr>
      </xdr:nvSpPr>
      <xdr:spPr>
        <a:xfrm>
          <a:off x="8353425" y="40852725"/>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11</xdr:row>
      <xdr:rowOff>0</xdr:rowOff>
    </xdr:from>
    <xdr:to>
      <xdr:col>8</xdr:col>
      <xdr:colOff>38100</xdr:colOff>
      <xdr:row>25</xdr:row>
      <xdr:rowOff>66675</xdr:rowOff>
    </xdr:to>
    <xdr:sp>
      <xdr:nvSpPr>
        <xdr:cNvPr id="25" name="Line 25"/>
        <xdr:cNvSpPr>
          <a:spLocks/>
        </xdr:cNvSpPr>
      </xdr:nvSpPr>
      <xdr:spPr>
        <a:xfrm>
          <a:off x="9267825" y="2200275"/>
          <a:ext cx="0" cy="1971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17</xdr:row>
      <xdr:rowOff>0</xdr:rowOff>
    </xdr:from>
    <xdr:to>
      <xdr:col>8</xdr:col>
      <xdr:colOff>219075</xdr:colOff>
      <xdr:row>17</xdr:row>
      <xdr:rowOff>0</xdr:rowOff>
    </xdr:to>
    <xdr:sp>
      <xdr:nvSpPr>
        <xdr:cNvPr id="26" name="Line 26"/>
        <xdr:cNvSpPr>
          <a:spLocks/>
        </xdr:cNvSpPr>
      </xdr:nvSpPr>
      <xdr:spPr>
        <a:xfrm>
          <a:off x="9277350" y="351472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35</xdr:row>
      <xdr:rowOff>0</xdr:rowOff>
    </xdr:from>
    <xdr:to>
      <xdr:col>8</xdr:col>
      <xdr:colOff>38100</xdr:colOff>
      <xdr:row>56</xdr:row>
      <xdr:rowOff>0</xdr:rowOff>
    </xdr:to>
    <xdr:sp>
      <xdr:nvSpPr>
        <xdr:cNvPr id="27" name="Line 27"/>
        <xdr:cNvSpPr>
          <a:spLocks/>
        </xdr:cNvSpPr>
      </xdr:nvSpPr>
      <xdr:spPr>
        <a:xfrm flipH="1">
          <a:off x="9258300" y="6276975"/>
          <a:ext cx="9525" cy="2781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41</xdr:row>
      <xdr:rowOff>0</xdr:rowOff>
    </xdr:from>
    <xdr:to>
      <xdr:col>8</xdr:col>
      <xdr:colOff>219075</xdr:colOff>
      <xdr:row>41</xdr:row>
      <xdr:rowOff>0</xdr:rowOff>
    </xdr:to>
    <xdr:sp>
      <xdr:nvSpPr>
        <xdr:cNvPr id="28" name="Line 28"/>
        <xdr:cNvSpPr>
          <a:spLocks/>
        </xdr:cNvSpPr>
      </xdr:nvSpPr>
      <xdr:spPr>
        <a:xfrm>
          <a:off x="9277350" y="775335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41</xdr:row>
      <xdr:rowOff>9525</xdr:rowOff>
    </xdr:from>
    <xdr:to>
      <xdr:col>8</xdr:col>
      <xdr:colOff>219075</xdr:colOff>
      <xdr:row>56</xdr:row>
      <xdr:rowOff>152400</xdr:rowOff>
    </xdr:to>
    <xdr:sp>
      <xdr:nvSpPr>
        <xdr:cNvPr id="29" name="Line 29"/>
        <xdr:cNvSpPr>
          <a:spLocks/>
        </xdr:cNvSpPr>
      </xdr:nvSpPr>
      <xdr:spPr>
        <a:xfrm>
          <a:off x="9448800" y="7753350"/>
          <a:ext cx="0" cy="1304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64</xdr:row>
      <xdr:rowOff>19050</xdr:rowOff>
    </xdr:from>
    <xdr:to>
      <xdr:col>8</xdr:col>
      <xdr:colOff>47625</xdr:colOff>
      <xdr:row>70</xdr:row>
      <xdr:rowOff>0</xdr:rowOff>
    </xdr:to>
    <xdr:sp>
      <xdr:nvSpPr>
        <xdr:cNvPr id="30" name="Line 30"/>
        <xdr:cNvSpPr>
          <a:spLocks/>
        </xdr:cNvSpPr>
      </xdr:nvSpPr>
      <xdr:spPr>
        <a:xfrm>
          <a:off x="9277350" y="10382250"/>
          <a:ext cx="0" cy="1466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66</xdr:row>
      <xdr:rowOff>0</xdr:rowOff>
    </xdr:from>
    <xdr:to>
      <xdr:col>8</xdr:col>
      <xdr:colOff>219075</xdr:colOff>
      <xdr:row>66</xdr:row>
      <xdr:rowOff>0</xdr:rowOff>
    </xdr:to>
    <xdr:sp>
      <xdr:nvSpPr>
        <xdr:cNvPr id="31" name="Line 31"/>
        <xdr:cNvSpPr>
          <a:spLocks/>
        </xdr:cNvSpPr>
      </xdr:nvSpPr>
      <xdr:spPr>
        <a:xfrm>
          <a:off x="9277350" y="1085850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66</xdr:row>
      <xdr:rowOff>0</xdr:rowOff>
    </xdr:from>
    <xdr:to>
      <xdr:col>8</xdr:col>
      <xdr:colOff>238125</xdr:colOff>
      <xdr:row>70</xdr:row>
      <xdr:rowOff>152400</xdr:rowOff>
    </xdr:to>
    <xdr:sp>
      <xdr:nvSpPr>
        <xdr:cNvPr id="32" name="Line 32"/>
        <xdr:cNvSpPr>
          <a:spLocks/>
        </xdr:cNvSpPr>
      </xdr:nvSpPr>
      <xdr:spPr>
        <a:xfrm>
          <a:off x="9467850" y="10858500"/>
          <a:ext cx="0" cy="990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828675</xdr:colOff>
      <xdr:row>88</xdr:row>
      <xdr:rowOff>152400</xdr:rowOff>
    </xdr:from>
    <xdr:to>
      <xdr:col>8</xdr:col>
      <xdr:colOff>219075</xdr:colOff>
      <xdr:row>90</xdr:row>
      <xdr:rowOff>76200</xdr:rowOff>
    </xdr:to>
    <xdr:sp>
      <xdr:nvSpPr>
        <xdr:cNvPr id="33" name="Line 33"/>
        <xdr:cNvSpPr>
          <a:spLocks/>
        </xdr:cNvSpPr>
      </xdr:nvSpPr>
      <xdr:spPr>
        <a:xfrm flipH="1">
          <a:off x="9182100" y="15801975"/>
          <a:ext cx="2667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75</xdr:row>
      <xdr:rowOff>657225</xdr:rowOff>
    </xdr:from>
    <xdr:to>
      <xdr:col>8</xdr:col>
      <xdr:colOff>38100</xdr:colOff>
      <xdr:row>89</xdr:row>
      <xdr:rowOff>0</xdr:rowOff>
    </xdr:to>
    <xdr:sp>
      <xdr:nvSpPr>
        <xdr:cNvPr id="34" name="Line 34"/>
        <xdr:cNvSpPr>
          <a:spLocks/>
        </xdr:cNvSpPr>
      </xdr:nvSpPr>
      <xdr:spPr>
        <a:xfrm>
          <a:off x="9267825" y="12992100"/>
          <a:ext cx="0" cy="2819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81</xdr:row>
      <xdr:rowOff>95250</xdr:rowOff>
    </xdr:from>
    <xdr:to>
      <xdr:col>8</xdr:col>
      <xdr:colOff>219075</xdr:colOff>
      <xdr:row>81</xdr:row>
      <xdr:rowOff>95250</xdr:rowOff>
    </xdr:to>
    <xdr:sp>
      <xdr:nvSpPr>
        <xdr:cNvPr id="35" name="Line 35"/>
        <xdr:cNvSpPr>
          <a:spLocks/>
        </xdr:cNvSpPr>
      </xdr:nvSpPr>
      <xdr:spPr>
        <a:xfrm>
          <a:off x="9277350" y="1424940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81</xdr:row>
      <xdr:rowOff>95250</xdr:rowOff>
    </xdr:from>
    <xdr:to>
      <xdr:col>8</xdr:col>
      <xdr:colOff>228600</xdr:colOff>
      <xdr:row>88</xdr:row>
      <xdr:rowOff>133350</xdr:rowOff>
    </xdr:to>
    <xdr:sp>
      <xdr:nvSpPr>
        <xdr:cNvPr id="36" name="Line 36"/>
        <xdr:cNvSpPr>
          <a:spLocks/>
        </xdr:cNvSpPr>
      </xdr:nvSpPr>
      <xdr:spPr>
        <a:xfrm>
          <a:off x="9458325" y="14249400"/>
          <a:ext cx="0" cy="1533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97</xdr:row>
      <xdr:rowOff>95250</xdr:rowOff>
    </xdr:from>
    <xdr:to>
      <xdr:col>8</xdr:col>
      <xdr:colOff>47625</xdr:colOff>
      <xdr:row>104</xdr:row>
      <xdr:rowOff>0</xdr:rowOff>
    </xdr:to>
    <xdr:sp>
      <xdr:nvSpPr>
        <xdr:cNvPr id="37" name="Line 37"/>
        <xdr:cNvSpPr>
          <a:spLocks/>
        </xdr:cNvSpPr>
      </xdr:nvSpPr>
      <xdr:spPr>
        <a:xfrm flipH="1">
          <a:off x="9267825" y="17049750"/>
          <a:ext cx="9525" cy="2066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100</xdr:row>
      <xdr:rowOff>0</xdr:rowOff>
    </xdr:from>
    <xdr:to>
      <xdr:col>8</xdr:col>
      <xdr:colOff>219075</xdr:colOff>
      <xdr:row>100</xdr:row>
      <xdr:rowOff>0</xdr:rowOff>
    </xdr:to>
    <xdr:sp>
      <xdr:nvSpPr>
        <xdr:cNvPr id="38" name="Line 38"/>
        <xdr:cNvSpPr>
          <a:spLocks/>
        </xdr:cNvSpPr>
      </xdr:nvSpPr>
      <xdr:spPr>
        <a:xfrm>
          <a:off x="9277350" y="1795462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99</xdr:row>
      <xdr:rowOff>323850</xdr:rowOff>
    </xdr:from>
    <xdr:to>
      <xdr:col>8</xdr:col>
      <xdr:colOff>238125</xdr:colOff>
      <xdr:row>104</xdr:row>
      <xdr:rowOff>133350</xdr:rowOff>
    </xdr:to>
    <xdr:sp>
      <xdr:nvSpPr>
        <xdr:cNvPr id="39" name="Line 39"/>
        <xdr:cNvSpPr>
          <a:spLocks/>
        </xdr:cNvSpPr>
      </xdr:nvSpPr>
      <xdr:spPr>
        <a:xfrm>
          <a:off x="9467850" y="17945100"/>
          <a:ext cx="0" cy="1171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111</xdr:row>
      <xdr:rowOff>466725</xdr:rowOff>
    </xdr:from>
    <xdr:to>
      <xdr:col>8</xdr:col>
      <xdr:colOff>47625</xdr:colOff>
      <xdr:row>119</xdr:row>
      <xdr:rowOff>0</xdr:rowOff>
    </xdr:to>
    <xdr:sp>
      <xdr:nvSpPr>
        <xdr:cNvPr id="40" name="Line 40"/>
        <xdr:cNvSpPr>
          <a:spLocks/>
        </xdr:cNvSpPr>
      </xdr:nvSpPr>
      <xdr:spPr>
        <a:xfrm flipH="1">
          <a:off x="9267825" y="20497800"/>
          <a:ext cx="9525" cy="2181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114</xdr:row>
      <xdr:rowOff>0</xdr:rowOff>
    </xdr:from>
    <xdr:to>
      <xdr:col>8</xdr:col>
      <xdr:colOff>219075</xdr:colOff>
      <xdr:row>114</xdr:row>
      <xdr:rowOff>0</xdr:rowOff>
    </xdr:to>
    <xdr:sp>
      <xdr:nvSpPr>
        <xdr:cNvPr id="41" name="Line 41"/>
        <xdr:cNvSpPr>
          <a:spLocks/>
        </xdr:cNvSpPr>
      </xdr:nvSpPr>
      <xdr:spPr>
        <a:xfrm>
          <a:off x="9277350" y="2152650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247650</xdr:colOff>
      <xdr:row>115</xdr:row>
      <xdr:rowOff>9525</xdr:rowOff>
    </xdr:from>
    <xdr:to>
      <xdr:col>8</xdr:col>
      <xdr:colOff>247650</xdr:colOff>
      <xdr:row>120</xdr:row>
      <xdr:rowOff>104775</xdr:rowOff>
    </xdr:to>
    <xdr:sp>
      <xdr:nvSpPr>
        <xdr:cNvPr id="42" name="Line 42"/>
        <xdr:cNvSpPr>
          <a:spLocks/>
        </xdr:cNvSpPr>
      </xdr:nvSpPr>
      <xdr:spPr>
        <a:xfrm>
          <a:off x="9477375" y="21869400"/>
          <a:ext cx="0"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126</xdr:row>
      <xdr:rowOff>971550</xdr:rowOff>
    </xdr:from>
    <xdr:to>
      <xdr:col>8</xdr:col>
      <xdr:colOff>47625</xdr:colOff>
      <xdr:row>134</xdr:row>
      <xdr:rowOff>0</xdr:rowOff>
    </xdr:to>
    <xdr:sp>
      <xdr:nvSpPr>
        <xdr:cNvPr id="43" name="Line 43"/>
        <xdr:cNvSpPr>
          <a:spLocks/>
        </xdr:cNvSpPr>
      </xdr:nvSpPr>
      <xdr:spPr>
        <a:xfrm flipH="1">
          <a:off x="9267825" y="24564975"/>
          <a:ext cx="9525" cy="2114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128</xdr:row>
      <xdr:rowOff>0</xdr:rowOff>
    </xdr:from>
    <xdr:to>
      <xdr:col>8</xdr:col>
      <xdr:colOff>219075</xdr:colOff>
      <xdr:row>128</xdr:row>
      <xdr:rowOff>0</xdr:rowOff>
    </xdr:to>
    <xdr:sp>
      <xdr:nvSpPr>
        <xdr:cNvPr id="44" name="Line 44"/>
        <xdr:cNvSpPr>
          <a:spLocks/>
        </xdr:cNvSpPr>
      </xdr:nvSpPr>
      <xdr:spPr>
        <a:xfrm>
          <a:off x="9277350" y="2553652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126</xdr:row>
      <xdr:rowOff>314325</xdr:rowOff>
    </xdr:from>
    <xdr:to>
      <xdr:col>8</xdr:col>
      <xdr:colOff>238125</xdr:colOff>
      <xdr:row>128</xdr:row>
      <xdr:rowOff>0</xdr:rowOff>
    </xdr:to>
    <xdr:sp>
      <xdr:nvSpPr>
        <xdr:cNvPr id="45" name="Line 45"/>
        <xdr:cNvSpPr>
          <a:spLocks/>
        </xdr:cNvSpPr>
      </xdr:nvSpPr>
      <xdr:spPr>
        <a:xfrm>
          <a:off x="9467850" y="23907750"/>
          <a:ext cx="0" cy="1628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126</xdr:row>
      <xdr:rowOff>142875</xdr:rowOff>
    </xdr:from>
    <xdr:to>
      <xdr:col>8</xdr:col>
      <xdr:colOff>247650</xdr:colOff>
      <xdr:row>126</xdr:row>
      <xdr:rowOff>323850</xdr:rowOff>
    </xdr:to>
    <xdr:sp>
      <xdr:nvSpPr>
        <xdr:cNvPr id="46" name="Line 46"/>
        <xdr:cNvSpPr>
          <a:spLocks/>
        </xdr:cNvSpPr>
      </xdr:nvSpPr>
      <xdr:spPr>
        <a:xfrm flipH="1" flipV="1">
          <a:off x="9229725" y="23736300"/>
          <a:ext cx="24765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145</xdr:row>
      <xdr:rowOff>0</xdr:rowOff>
    </xdr:from>
    <xdr:to>
      <xdr:col>8</xdr:col>
      <xdr:colOff>47625</xdr:colOff>
      <xdr:row>173</xdr:row>
      <xdr:rowOff>0</xdr:rowOff>
    </xdr:to>
    <xdr:sp>
      <xdr:nvSpPr>
        <xdr:cNvPr id="47" name="Line 47"/>
        <xdr:cNvSpPr>
          <a:spLocks/>
        </xdr:cNvSpPr>
      </xdr:nvSpPr>
      <xdr:spPr>
        <a:xfrm flipH="1">
          <a:off x="9267825" y="30308550"/>
          <a:ext cx="9525" cy="4905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158</xdr:row>
      <xdr:rowOff>152400</xdr:rowOff>
    </xdr:from>
    <xdr:to>
      <xdr:col>8</xdr:col>
      <xdr:colOff>219075</xdr:colOff>
      <xdr:row>158</xdr:row>
      <xdr:rowOff>152400</xdr:rowOff>
    </xdr:to>
    <xdr:sp>
      <xdr:nvSpPr>
        <xdr:cNvPr id="48" name="Line 48"/>
        <xdr:cNvSpPr>
          <a:spLocks/>
        </xdr:cNvSpPr>
      </xdr:nvSpPr>
      <xdr:spPr>
        <a:xfrm>
          <a:off x="9277350" y="3324225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159</xdr:row>
      <xdr:rowOff>9525</xdr:rowOff>
    </xdr:from>
    <xdr:to>
      <xdr:col>8</xdr:col>
      <xdr:colOff>247650</xdr:colOff>
      <xdr:row>174</xdr:row>
      <xdr:rowOff>0</xdr:rowOff>
    </xdr:to>
    <xdr:sp>
      <xdr:nvSpPr>
        <xdr:cNvPr id="49" name="Line 49"/>
        <xdr:cNvSpPr>
          <a:spLocks/>
        </xdr:cNvSpPr>
      </xdr:nvSpPr>
      <xdr:spPr>
        <a:xfrm flipH="1">
          <a:off x="9467850" y="33261300"/>
          <a:ext cx="9525" cy="1952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182</xdr:row>
      <xdr:rowOff>28575</xdr:rowOff>
    </xdr:from>
    <xdr:to>
      <xdr:col>8</xdr:col>
      <xdr:colOff>38100</xdr:colOff>
      <xdr:row>203</xdr:row>
      <xdr:rowOff>9525</xdr:rowOff>
    </xdr:to>
    <xdr:sp>
      <xdr:nvSpPr>
        <xdr:cNvPr id="50" name="Line 50"/>
        <xdr:cNvSpPr>
          <a:spLocks/>
        </xdr:cNvSpPr>
      </xdr:nvSpPr>
      <xdr:spPr>
        <a:xfrm flipH="1">
          <a:off x="9267825" y="38242875"/>
          <a:ext cx="0" cy="3590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190</xdr:row>
      <xdr:rowOff>9525</xdr:rowOff>
    </xdr:from>
    <xdr:to>
      <xdr:col>8</xdr:col>
      <xdr:colOff>219075</xdr:colOff>
      <xdr:row>190</xdr:row>
      <xdr:rowOff>9525</xdr:rowOff>
    </xdr:to>
    <xdr:sp>
      <xdr:nvSpPr>
        <xdr:cNvPr id="51" name="Line 51"/>
        <xdr:cNvSpPr>
          <a:spLocks/>
        </xdr:cNvSpPr>
      </xdr:nvSpPr>
      <xdr:spPr>
        <a:xfrm>
          <a:off x="9277350" y="4003357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190</xdr:row>
      <xdr:rowOff>19050</xdr:rowOff>
    </xdr:from>
    <xdr:to>
      <xdr:col>8</xdr:col>
      <xdr:colOff>238125</xdr:colOff>
      <xdr:row>204</xdr:row>
      <xdr:rowOff>9525</xdr:rowOff>
    </xdr:to>
    <xdr:sp>
      <xdr:nvSpPr>
        <xdr:cNvPr id="52" name="Line 52"/>
        <xdr:cNvSpPr>
          <a:spLocks/>
        </xdr:cNvSpPr>
      </xdr:nvSpPr>
      <xdr:spPr>
        <a:xfrm flipH="1">
          <a:off x="9458325" y="40043100"/>
          <a:ext cx="9525" cy="1790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17</xdr:row>
      <xdr:rowOff>9525</xdr:rowOff>
    </xdr:from>
    <xdr:to>
      <xdr:col>8</xdr:col>
      <xdr:colOff>219075</xdr:colOff>
      <xdr:row>26</xdr:row>
      <xdr:rowOff>66675</xdr:rowOff>
    </xdr:to>
    <xdr:sp>
      <xdr:nvSpPr>
        <xdr:cNvPr id="53" name="Line 53"/>
        <xdr:cNvSpPr>
          <a:spLocks/>
        </xdr:cNvSpPr>
      </xdr:nvSpPr>
      <xdr:spPr>
        <a:xfrm>
          <a:off x="9448800" y="3524250"/>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809625</xdr:colOff>
      <xdr:row>26</xdr:row>
      <xdr:rowOff>57150</xdr:rowOff>
    </xdr:from>
    <xdr:to>
      <xdr:col>7</xdr:col>
      <xdr:colOff>228600</xdr:colOff>
      <xdr:row>26</xdr:row>
      <xdr:rowOff>57150</xdr:rowOff>
    </xdr:to>
    <xdr:sp>
      <xdr:nvSpPr>
        <xdr:cNvPr id="54" name="Line 54"/>
        <xdr:cNvSpPr>
          <a:spLocks/>
        </xdr:cNvSpPr>
      </xdr:nvSpPr>
      <xdr:spPr>
        <a:xfrm flipH="1">
          <a:off x="8353425" y="41719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56</xdr:row>
      <xdr:rowOff>152400</xdr:rowOff>
    </xdr:from>
    <xdr:to>
      <xdr:col>8</xdr:col>
      <xdr:colOff>219075</xdr:colOff>
      <xdr:row>57</xdr:row>
      <xdr:rowOff>85725</xdr:rowOff>
    </xdr:to>
    <xdr:sp>
      <xdr:nvSpPr>
        <xdr:cNvPr id="55" name="Line 55"/>
        <xdr:cNvSpPr>
          <a:spLocks/>
        </xdr:cNvSpPr>
      </xdr:nvSpPr>
      <xdr:spPr>
        <a:xfrm rot="10800000" flipV="1">
          <a:off x="9239250" y="9058275"/>
          <a:ext cx="21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71</xdr:row>
      <xdr:rowOff>0</xdr:rowOff>
    </xdr:from>
    <xdr:to>
      <xdr:col>8</xdr:col>
      <xdr:colOff>238125</xdr:colOff>
      <xdr:row>71</xdr:row>
      <xdr:rowOff>66675</xdr:rowOff>
    </xdr:to>
    <xdr:sp>
      <xdr:nvSpPr>
        <xdr:cNvPr id="56" name="Line 56"/>
        <xdr:cNvSpPr>
          <a:spLocks/>
        </xdr:cNvSpPr>
      </xdr:nvSpPr>
      <xdr:spPr>
        <a:xfrm flipH="1">
          <a:off x="9229725" y="1184910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809625</xdr:colOff>
      <xdr:row>104</xdr:row>
      <xdr:rowOff>142875</xdr:rowOff>
    </xdr:from>
    <xdr:to>
      <xdr:col>7</xdr:col>
      <xdr:colOff>238125</xdr:colOff>
      <xdr:row>105</xdr:row>
      <xdr:rowOff>76200</xdr:rowOff>
    </xdr:to>
    <xdr:sp>
      <xdr:nvSpPr>
        <xdr:cNvPr id="57" name="Line 57"/>
        <xdr:cNvSpPr>
          <a:spLocks/>
        </xdr:cNvSpPr>
      </xdr:nvSpPr>
      <xdr:spPr>
        <a:xfrm flipH="1">
          <a:off x="8353425" y="1911667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809625</xdr:colOff>
      <xdr:row>120</xdr:row>
      <xdr:rowOff>95250</xdr:rowOff>
    </xdr:from>
    <xdr:to>
      <xdr:col>7</xdr:col>
      <xdr:colOff>247650</xdr:colOff>
      <xdr:row>120</xdr:row>
      <xdr:rowOff>95250</xdr:rowOff>
    </xdr:to>
    <xdr:sp>
      <xdr:nvSpPr>
        <xdr:cNvPr id="58" name="Line 58"/>
        <xdr:cNvSpPr>
          <a:spLocks/>
        </xdr:cNvSpPr>
      </xdr:nvSpPr>
      <xdr:spPr>
        <a:xfrm flipH="1">
          <a:off x="8353425" y="226790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809625</xdr:colOff>
      <xdr:row>173</xdr:row>
      <xdr:rowOff>133350</xdr:rowOff>
    </xdr:from>
    <xdr:to>
      <xdr:col>7</xdr:col>
      <xdr:colOff>238125</xdr:colOff>
      <xdr:row>174</xdr:row>
      <xdr:rowOff>76200</xdr:rowOff>
    </xdr:to>
    <xdr:sp>
      <xdr:nvSpPr>
        <xdr:cNvPr id="59" name="Line 59"/>
        <xdr:cNvSpPr>
          <a:spLocks/>
        </xdr:cNvSpPr>
      </xdr:nvSpPr>
      <xdr:spPr>
        <a:xfrm flipH="1">
          <a:off x="8353425" y="3521392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809625</xdr:colOff>
      <xdr:row>204</xdr:row>
      <xdr:rowOff>9525</xdr:rowOff>
    </xdr:from>
    <xdr:to>
      <xdr:col>7</xdr:col>
      <xdr:colOff>228600</xdr:colOff>
      <xdr:row>204</xdr:row>
      <xdr:rowOff>85725</xdr:rowOff>
    </xdr:to>
    <xdr:sp>
      <xdr:nvSpPr>
        <xdr:cNvPr id="60" name="Line 60"/>
        <xdr:cNvSpPr>
          <a:spLocks/>
        </xdr:cNvSpPr>
      </xdr:nvSpPr>
      <xdr:spPr>
        <a:xfrm flipH="1">
          <a:off x="8353425" y="4183380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16</xdr:row>
      <xdr:rowOff>0</xdr:rowOff>
    </xdr:from>
    <xdr:to>
      <xdr:col>7</xdr:col>
      <xdr:colOff>466725</xdr:colOff>
      <xdr:row>16</xdr:row>
      <xdr:rowOff>0</xdr:rowOff>
    </xdr:to>
    <xdr:sp>
      <xdr:nvSpPr>
        <xdr:cNvPr id="61" name="Line 61"/>
        <xdr:cNvSpPr>
          <a:spLocks/>
        </xdr:cNvSpPr>
      </xdr:nvSpPr>
      <xdr:spPr>
        <a:xfrm flipV="1">
          <a:off x="8353425" y="335280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14</xdr:row>
      <xdr:rowOff>0</xdr:rowOff>
    </xdr:from>
    <xdr:to>
      <xdr:col>7</xdr:col>
      <xdr:colOff>466725</xdr:colOff>
      <xdr:row>16</xdr:row>
      <xdr:rowOff>0</xdr:rowOff>
    </xdr:to>
    <xdr:sp>
      <xdr:nvSpPr>
        <xdr:cNvPr id="62" name="Line 62"/>
        <xdr:cNvSpPr>
          <a:spLocks/>
        </xdr:cNvSpPr>
      </xdr:nvSpPr>
      <xdr:spPr>
        <a:xfrm flipV="1">
          <a:off x="8820150" y="3028950"/>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40</xdr:row>
      <xdr:rowOff>9525</xdr:rowOff>
    </xdr:from>
    <xdr:to>
      <xdr:col>7</xdr:col>
      <xdr:colOff>466725</xdr:colOff>
      <xdr:row>40</xdr:row>
      <xdr:rowOff>9525</xdr:rowOff>
    </xdr:to>
    <xdr:sp>
      <xdr:nvSpPr>
        <xdr:cNvPr id="63" name="Line 63"/>
        <xdr:cNvSpPr>
          <a:spLocks/>
        </xdr:cNvSpPr>
      </xdr:nvSpPr>
      <xdr:spPr>
        <a:xfrm flipV="1">
          <a:off x="8353425" y="726757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39</xdr:row>
      <xdr:rowOff>0</xdr:rowOff>
    </xdr:from>
    <xdr:to>
      <xdr:col>7</xdr:col>
      <xdr:colOff>466725</xdr:colOff>
      <xdr:row>40</xdr:row>
      <xdr:rowOff>0</xdr:rowOff>
    </xdr:to>
    <xdr:sp>
      <xdr:nvSpPr>
        <xdr:cNvPr id="64" name="Line 64"/>
        <xdr:cNvSpPr>
          <a:spLocks/>
        </xdr:cNvSpPr>
      </xdr:nvSpPr>
      <xdr:spPr>
        <a:xfrm flipV="1">
          <a:off x="8820150" y="709612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47</xdr:row>
      <xdr:rowOff>0</xdr:rowOff>
    </xdr:from>
    <xdr:to>
      <xdr:col>7</xdr:col>
      <xdr:colOff>466725</xdr:colOff>
      <xdr:row>47</xdr:row>
      <xdr:rowOff>0</xdr:rowOff>
    </xdr:to>
    <xdr:sp>
      <xdr:nvSpPr>
        <xdr:cNvPr id="65" name="Line 65"/>
        <xdr:cNvSpPr>
          <a:spLocks/>
        </xdr:cNvSpPr>
      </xdr:nvSpPr>
      <xdr:spPr>
        <a:xfrm flipV="1">
          <a:off x="8353425" y="823912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45</xdr:row>
      <xdr:rowOff>0</xdr:rowOff>
    </xdr:from>
    <xdr:to>
      <xdr:col>7</xdr:col>
      <xdr:colOff>466725</xdr:colOff>
      <xdr:row>47</xdr:row>
      <xdr:rowOff>0</xdr:rowOff>
    </xdr:to>
    <xdr:sp>
      <xdr:nvSpPr>
        <xdr:cNvPr id="66" name="Line 66"/>
        <xdr:cNvSpPr>
          <a:spLocks/>
        </xdr:cNvSpPr>
      </xdr:nvSpPr>
      <xdr:spPr>
        <a:xfrm flipV="1">
          <a:off x="8820150" y="79152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81</xdr:row>
      <xdr:rowOff>9525</xdr:rowOff>
    </xdr:from>
    <xdr:to>
      <xdr:col>7</xdr:col>
      <xdr:colOff>466725</xdr:colOff>
      <xdr:row>81</xdr:row>
      <xdr:rowOff>9525</xdr:rowOff>
    </xdr:to>
    <xdr:sp>
      <xdr:nvSpPr>
        <xdr:cNvPr id="67" name="Line 67"/>
        <xdr:cNvSpPr>
          <a:spLocks/>
        </xdr:cNvSpPr>
      </xdr:nvSpPr>
      <xdr:spPr>
        <a:xfrm flipV="1">
          <a:off x="8353425" y="1416367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80</xdr:row>
      <xdr:rowOff>0</xdr:rowOff>
    </xdr:from>
    <xdr:to>
      <xdr:col>7</xdr:col>
      <xdr:colOff>466725</xdr:colOff>
      <xdr:row>81</xdr:row>
      <xdr:rowOff>0</xdr:rowOff>
    </xdr:to>
    <xdr:sp>
      <xdr:nvSpPr>
        <xdr:cNvPr id="68" name="Line 68"/>
        <xdr:cNvSpPr>
          <a:spLocks/>
        </xdr:cNvSpPr>
      </xdr:nvSpPr>
      <xdr:spPr>
        <a:xfrm flipV="1">
          <a:off x="8820150" y="1399222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117</xdr:row>
      <xdr:rowOff>9525</xdr:rowOff>
    </xdr:from>
    <xdr:to>
      <xdr:col>7</xdr:col>
      <xdr:colOff>466725</xdr:colOff>
      <xdr:row>117</xdr:row>
      <xdr:rowOff>9525</xdr:rowOff>
    </xdr:to>
    <xdr:sp>
      <xdr:nvSpPr>
        <xdr:cNvPr id="69" name="Line 69"/>
        <xdr:cNvSpPr>
          <a:spLocks/>
        </xdr:cNvSpPr>
      </xdr:nvSpPr>
      <xdr:spPr>
        <a:xfrm flipV="1">
          <a:off x="8353425" y="2236470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116</xdr:row>
      <xdr:rowOff>0</xdr:rowOff>
    </xdr:from>
    <xdr:to>
      <xdr:col>7</xdr:col>
      <xdr:colOff>466725</xdr:colOff>
      <xdr:row>117</xdr:row>
      <xdr:rowOff>0</xdr:rowOff>
    </xdr:to>
    <xdr:sp>
      <xdr:nvSpPr>
        <xdr:cNvPr id="70" name="Line 70"/>
        <xdr:cNvSpPr>
          <a:spLocks/>
        </xdr:cNvSpPr>
      </xdr:nvSpPr>
      <xdr:spPr>
        <a:xfrm flipV="1">
          <a:off x="8820150" y="22021800"/>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149</xdr:row>
      <xdr:rowOff>0</xdr:rowOff>
    </xdr:from>
    <xdr:to>
      <xdr:col>7</xdr:col>
      <xdr:colOff>466725</xdr:colOff>
      <xdr:row>149</xdr:row>
      <xdr:rowOff>0</xdr:rowOff>
    </xdr:to>
    <xdr:sp>
      <xdr:nvSpPr>
        <xdr:cNvPr id="71" name="Line 71"/>
        <xdr:cNvSpPr>
          <a:spLocks/>
        </xdr:cNvSpPr>
      </xdr:nvSpPr>
      <xdr:spPr>
        <a:xfrm flipV="1">
          <a:off x="8353425" y="3129915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147</xdr:row>
      <xdr:rowOff>0</xdr:rowOff>
    </xdr:from>
    <xdr:to>
      <xdr:col>7</xdr:col>
      <xdr:colOff>466725</xdr:colOff>
      <xdr:row>149</xdr:row>
      <xdr:rowOff>0</xdr:rowOff>
    </xdr:to>
    <xdr:sp>
      <xdr:nvSpPr>
        <xdr:cNvPr id="72" name="Line 72"/>
        <xdr:cNvSpPr>
          <a:spLocks/>
        </xdr:cNvSpPr>
      </xdr:nvSpPr>
      <xdr:spPr>
        <a:xfrm flipV="1">
          <a:off x="8820150" y="30975300"/>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164</xdr:row>
      <xdr:rowOff>0</xdr:rowOff>
    </xdr:from>
    <xdr:to>
      <xdr:col>7</xdr:col>
      <xdr:colOff>466725</xdr:colOff>
      <xdr:row>164</xdr:row>
      <xdr:rowOff>0</xdr:rowOff>
    </xdr:to>
    <xdr:sp>
      <xdr:nvSpPr>
        <xdr:cNvPr id="73" name="Line 73"/>
        <xdr:cNvSpPr>
          <a:spLocks/>
        </xdr:cNvSpPr>
      </xdr:nvSpPr>
      <xdr:spPr>
        <a:xfrm flipV="1">
          <a:off x="8353425" y="3439477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162</xdr:row>
      <xdr:rowOff>0</xdr:rowOff>
    </xdr:from>
    <xdr:to>
      <xdr:col>7</xdr:col>
      <xdr:colOff>466725</xdr:colOff>
      <xdr:row>164</xdr:row>
      <xdr:rowOff>0</xdr:rowOff>
    </xdr:to>
    <xdr:sp>
      <xdr:nvSpPr>
        <xdr:cNvPr id="74" name="Line 74"/>
        <xdr:cNvSpPr>
          <a:spLocks/>
        </xdr:cNvSpPr>
      </xdr:nvSpPr>
      <xdr:spPr>
        <a:xfrm flipV="1">
          <a:off x="8820150" y="3407092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195</xdr:row>
      <xdr:rowOff>0</xdr:rowOff>
    </xdr:from>
    <xdr:to>
      <xdr:col>7</xdr:col>
      <xdr:colOff>466725</xdr:colOff>
      <xdr:row>195</xdr:row>
      <xdr:rowOff>0</xdr:rowOff>
    </xdr:to>
    <xdr:sp>
      <xdr:nvSpPr>
        <xdr:cNvPr id="75" name="Line 75"/>
        <xdr:cNvSpPr>
          <a:spLocks/>
        </xdr:cNvSpPr>
      </xdr:nvSpPr>
      <xdr:spPr>
        <a:xfrm flipV="1">
          <a:off x="8353425" y="4117657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193</xdr:row>
      <xdr:rowOff>0</xdr:rowOff>
    </xdr:from>
    <xdr:to>
      <xdr:col>7</xdr:col>
      <xdr:colOff>466725</xdr:colOff>
      <xdr:row>195</xdr:row>
      <xdr:rowOff>0</xdr:rowOff>
    </xdr:to>
    <xdr:sp>
      <xdr:nvSpPr>
        <xdr:cNvPr id="76" name="Line 76"/>
        <xdr:cNvSpPr>
          <a:spLocks/>
        </xdr:cNvSpPr>
      </xdr:nvSpPr>
      <xdr:spPr>
        <a:xfrm flipV="1">
          <a:off x="8820150" y="4085272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11</xdr:row>
      <xdr:rowOff>0</xdr:rowOff>
    </xdr:from>
    <xdr:to>
      <xdr:col>8</xdr:col>
      <xdr:colOff>38100</xdr:colOff>
      <xdr:row>25</xdr:row>
      <xdr:rowOff>66675</xdr:rowOff>
    </xdr:to>
    <xdr:sp>
      <xdr:nvSpPr>
        <xdr:cNvPr id="77" name="Line 77"/>
        <xdr:cNvSpPr>
          <a:spLocks/>
        </xdr:cNvSpPr>
      </xdr:nvSpPr>
      <xdr:spPr>
        <a:xfrm>
          <a:off x="9267825" y="2200275"/>
          <a:ext cx="0" cy="1971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17</xdr:row>
      <xdr:rowOff>0</xdr:rowOff>
    </xdr:from>
    <xdr:to>
      <xdr:col>8</xdr:col>
      <xdr:colOff>219075</xdr:colOff>
      <xdr:row>17</xdr:row>
      <xdr:rowOff>0</xdr:rowOff>
    </xdr:to>
    <xdr:sp>
      <xdr:nvSpPr>
        <xdr:cNvPr id="78" name="Line 78"/>
        <xdr:cNvSpPr>
          <a:spLocks/>
        </xdr:cNvSpPr>
      </xdr:nvSpPr>
      <xdr:spPr>
        <a:xfrm>
          <a:off x="9277350" y="351472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35</xdr:row>
      <xdr:rowOff>0</xdr:rowOff>
    </xdr:from>
    <xdr:to>
      <xdr:col>8</xdr:col>
      <xdr:colOff>38100</xdr:colOff>
      <xdr:row>56</xdr:row>
      <xdr:rowOff>0</xdr:rowOff>
    </xdr:to>
    <xdr:sp>
      <xdr:nvSpPr>
        <xdr:cNvPr id="79" name="Line 79"/>
        <xdr:cNvSpPr>
          <a:spLocks/>
        </xdr:cNvSpPr>
      </xdr:nvSpPr>
      <xdr:spPr>
        <a:xfrm flipH="1">
          <a:off x="9258300" y="6276975"/>
          <a:ext cx="9525" cy="2781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41</xdr:row>
      <xdr:rowOff>0</xdr:rowOff>
    </xdr:from>
    <xdr:to>
      <xdr:col>8</xdr:col>
      <xdr:colOff>219075</xdr:colOff>
      <xdr:row>41</xdr:row>
      <xdr:rowOff>0</xdr:rowOff>
    </xdr:to>
    <xdr:sp>
      <xdr:nvSpPr>
        <xdr:cNvPr id="80" name="Line 80"/>
        <xdr:cNvSpPr>
          <a:spLocks/>
        </xdr:cNvSpPr>
      </xdr:nvSpPr>
      <xdr:spPr>
        <a:xfrm>
          <a:off x="9277350" y="775335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41</xdr:row>
      <xdr:rowOff>9525</xdr:rowOff>
    </xdr:from>
    <xdr:to>
      <xdr:col>8</xdr:col>
      <xdr:colOff>219075</xdr:colOff>
      <xdr:row>56</xdr:row>
      <xdr:rowOff>152400</xdr:rowOff>
    </xdr:to>
    <xdr:sp>
      <xdr:nvSpPr>
        <xdr:cNvPr id="81" name="Line 81"/>
        <xdr:cNvSpPr>
          <a:spLocks/>
        </xdr:cNvSpPr>
      </xdr:nvSpPr>
      <xdr:spPr>
        <a:xfrm>
          <a:off x="9448800" y="7753350"/>
          <a:ext cx="0" cy="1304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64</xdr:row>
      <xdr:rowOff>19050</xdr:rowOff>
    </xdr:from>
    <xdr:to>
      <xdr:col>8</xdr:col>
      <xdr:colOff>47625</xdr:colOff>
      <xdr:row>70</xdr:row>
      <xdr:rowOff>0</xdr:rowOff>
    </xdr:to>
    <xdr:sp>
      <xdr:nvSpPr>
        <xdr:cNvPr id="82" name="Line 82"/>
        <xdr:cNvSpPr>
          <a:spLocks/>
        </xdr:cNvSpPr>
      </xdr:nvSpPr>
      <xdr:spPr>
        <a:xfrm>
          <a:off x="9277350" y="10382250"/>
          <a:ext cx="0" cy="1466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66</xdr:row>
      <xdr:rowOff>0</xdr:rowOff>
    </xdr:from>
    <xdr:to>
      <xdr:col>8</xdr:col>
      <xdr:colOff>219075</xdr:colOff>
      <xdr:row>66</xdr:row>
      <xdr:rowOff>0</xdr:rowOff>
    </xdr:to>
    <xdr:sp>
      <xdr:nvSpPr>
        <xdr:cNvPr id="83" name="Line 83"/>
        <xdr:cNvSpPr>
          <a:spLocks/>
        </xdr:cNvSpPr>
      </xdr:nvSpPr>
      <xdr:spPr>
        <a:xfrm>
          <a:off x="9277350" y="1085850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66</xdr:row>
      <xdr:rowOff>0</xdr:rowOff>
    </xdr:from>
    <xdr:to>
      <xdr:col>8</xdr:col>
      <xdr:colOff>238125</xdr:colOff>
      <xdr:row>70</xdr:row>
      <xdr:rowOff>152400</xdr:rowOff>
    </xdr:to>
    <xdr:sp>
      <xdr:nvSpPr>
        <xdr:cNvPr id="84" name="Line 84"/>
        <xdr:cNvSpPr>
          <a:spLocks/>
        </xdr:cNvSpPr>
      </xdr:nvSpPr>
      <xdr:spPr>
        <a:xfrm>
          <a:off x="9467850" y="10858500"/>
          <a:ext cx="0" cy="990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828675</xdr:colOff>
      <xdr:row>88</xdr:row>
      <xdr:rowOff>152400</xdr:rowOff>
    </xdr:from>
    <xdr:to>
      <xdr:col>8</xdr:col>
      <xdr:colOff>219075</xdr:colOff>
      <xdr:row>90</xdr:row>
      <xdr:rowOff>76200</xdr:rowOff>
    </xdr:to>
    <xdr:sp>
      <xdr:nvSpPr>
        <xdr:cNvPr id="85" name="Line 85"/>
        <xdr:cNvSpPr>
          <a:spLocks/>
        </xdr:cNvSpPr>
      </xdr:nvSpPr>
      <xdr:spPr>
        <a:xfrm flipH="1">
          <a:off x="9182100" y="15801975"/>
          <a:ext cx="2667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75</xdr:row>
      <xdr:rowOff>657225</xdr:rowOff>
    </xdr:from>
    <xdr:to>
      <xdr:col>8</xdr:col>
      <xdr:colOff>38100</xdr:colOff>
      <xdr:row>89</xdr:row>
      <xdr:rowOff>0</xdr:rowOff>
    </xdr:to>
    <xdr:sp>
      <xdr:nvSpPr>
        <xdr:cNvPr id="86" name="Line 86"/>
        <xdr:cNvSpPr>
          <a:spLocks/>
        </xdr:cNvSpPr>
      </xdr:nvSpPr>
      <xdr:spPr>
        <a:xfrm>
          <a:off x="9267825" y="12992100"/>
          <a:ext cx="0" cy="2819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81</xdr:row>
      <xdr:rowOff>95250</xdr:rowOff>
    </xdr:from>
    <xdr:to>
      <xdr:col>8</xdr:col>
      <xdr:colOff>219075</xdr:colOff>
      <xdr:row>81</xdr:row>
      <xdr:rowOff>95250</xdr:rowOff>
    </xdr:to>
    <xdr:sp>
      <xdr:nvSpPr>
        <xdr:cNvPr id="87" name="Line 87"/>
        <xdr:cNvSpPr>
          <a:spLocks/>
        </xdr:cNvSpPr>
      </xdr:nvSpPr>
      <xdr:spPr>
        <a:xfrm>
          <a:off x="9277350" y="1424940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81</xdr:row>
      <xdr:rowOff>95250</xdr:rowOff>
    </xdr:from>
    <xdr:to>
      <xdr:col>8</xdr:col>
      <xdr:colOff>228600</xdr:colOff>
      <xdr:row>88</xdr:row>
      <xdr:rowOff>133350</xdr:rowOff>
    </xdr:to>
    <xdr:sp>
      <xdr:nvSpPr>
        <xdr:cNvPr id="88" name="Line 88"/>
        <xdr:cNvSpPr>
          <a:spLocks/>
        </xdr:cNvSpPr>
      </xdr:nvSpPr>
      <xdr:spPr>
        <a:xfrm>
          <a:off x="9458325" y="14249400"/>
          <a:ext cx="0" cy="1533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97</xdr:row>
      <xdr:rowOff>95250</xdr:rowOff>
    </xdr:from>
    <xdr:to>
      <xdr:col>8</xdr:col>
      <xdr:colOff>47625</xdr:colOff>
      <xdr:row>104</xdr:row>
      <xdr:rowOff>0</xdr:rowOff>
    </xdr:to>
    <xdr:sp>
      <xdr:nvSpPr>
        <xdr:cNvPr id="89" name="Line 89"/>
        <xdr:cNvSpPr>
          <a:spLocks/>
        </xdr:cNvSpPr>
      </xdr:nvSpPr>
      <xdr:spPr>
        <a:xfrm flipH="1">
          <a:off x="9267825" y="17049750"/>
          <a:ext cx="9525" cy="2066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100</xdr:row>
      <xdr:rowOff>0</xdr:rowOff>
    </xdr:from>
    <xdr:to>
      <xdr:col>8</xdr:col>
      <xdr:colOff>219075</xdr:colOff>
      <xdr:row>100</xdr:row>
      <xdr:rowOff>0</xdr:rowOff>
    </xdr:to>
    <xdr:sp>
      <xdr:nvSpPr>
        <xdr:cNvPr id="90" name="Line 90"/>
        <xdr:cNvSpPr>
          <a:spLocks/>
        </xdr:cNvSpPr>
      </xdr:nvSpPr>
      <xdr:spPr>
        <a:xfrm>
          <a:off x="9277350" y="1795462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99</xdr:row>
      <xdr:rowOff>323850</xdr:rowOff>
    </xdr:from>
    <xdr:to>
      <xdr:col>8</xdr:col>
      <xdr:colOff>238125</xdr:colOff>
      <xdr:row>104</xdr:row>
      <xdr:rowOff>133350</xdr:rowOff>
    </xdr:to>
    <xdr:sp>
      <xdr:nvSpPr>
        <xdr:cNvPr id="91" name="Line 91"/>
        <xdr:cNvSpPr>
          <a:spLocks/>
        </xdr:cNvSpPr>
      </xdr:nvSpPr>
      <xdr:spPr>
        <a:xfrm>
          <a:off x="9467850" y="17945100"/>
          <a:ext cx="0" cy="1171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111</xdr:row>
      <xdr:rowOff>466725</xdr:rowOff>
    </xdr:from>
    <xdr:to>
      <xdr:col>8</xdr:col>
      <xdr:colOff>47625</xdr:colOff>
      <xdr:row>119</xdr:row>
      <xdr:rowOff>0</xdr:rowOff>
    </xdr:to>
    <xdr:sp>
      <xdr:nvSpPr>
        <xdr:cNvPr id="92" name="Line 92"/>
        <xdr:cNvSpPr>
          <a:spLocks/>
        </xdr:cNvSpPr>
      </xdr:nvSpPr>
      <xdr:spPr>
        <a:xfrm flipH="1">
          <a:off x="9267825" y="20497800"/>
          <a:ext cx="9525" cy="2181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114</xdr:row>
      <xdr:rowOff>0</xdr:rowOff>
    </xdr:from>
    <xdr:to>
      <xdr:col>8</xdr:col>
      <xdr:colOff>219075</xdr:colOff>
      <xdr:row>114</xdr:row>
      <xdr:rowOff>0</xdr:rowOff>
    </xdr:to>
    <xdr:sp>
      <xdr:nvSpPr>
        <xdr:cNvPr id="93" name="Line 93"/>
        <xdr:cNvSpPr>
          <a:spLocks/>
        </xdr:cNvSpPr>
      </xdr:nvSpPr>
      <xdr:spPr>
        <a:xfrm>
          <a:off x="9277350" y="2152650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247650</xdr:colOff>
      <xdr:row>115</xdr:row>
      <xdr:rowOff>9525</xdr:rowOff>
    </xdr:from>
    <xdr:to>
      <xdr:col>8</xdr:col>
      <xdr:colOff>247650</xdr:colOff>
      <xdr:row>120</xdr:row>
      <xdr:rowOff>104775</xdr:rowOff>
    </xdr:to>
    <xdr:sp>
      <xdr:nvSpPr>
        <xdr:cNvPr id="94" name="Line 94"/>
        <xdr:cNvSpPr>
          <a:spLocks/>
        </xdr:cNvSpPr>
      </xdr:nvSpPr>
      <xdr:spPr>
        <a:xfrm>
          <a:off x="9477375" y="21869400"/>
          <a:ext cx="0"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126</xdr:row>
      <xdr:rowOff>971550</xdr:rowOff>
    </xdr:from>
    <xdr:to>
      <xdr:col>8</xdr:col>
      <xdr:colOff>47625</xdr:colOff>
      <xdr:row>134</xdr:row>
      <xdr:rowOff>0</xdr:rowOff>
    </xdr:to>
    <xdr:sp>
      <xdr:nvSpPr>
        <xdr:cNvPr id="95" name="Line 95"/>
        <xdr:cNvSpPr>
          <a:spLocks/>
        </xdr:cNvSpPr>
      </xdr:nvSpPr>
      <xdr:spPr>
        <a:xfrm flipH="1">
          <a:off x="9267825" y="24564975"/>
          <a:ext cx="9525" cy="2114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128</xdr:row>
      <xdr:rowOff>0</xdr:rowOff>
    </xdr:from>
    <xdr:to>
      <xdr:col>8</xdr:col>
      <xdr:colOff>219075</xdr:colOff>
      <xdr:row>128</xdr:row>
      <xdr:rowOff>0</xdr:rowOff>
    </xdr:to>
    <xdr:sp>
      <xdr:nvSpPr>
        <xdr:cNvPr id="96" name="Line 96"/>
        <xdr:cNvSpPr>
          <a:spLocks/>
        </xdr:cNvSpPr>
      </xdr:nvSpPr>
      <xdr:spPr>
        <a:xfrm>
          <a:off x="9277350" y="2553652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126</xdr:row>
      <xdr:rowOff>314325</xdr:rowOff>
    </xdr:from>
    <xdr:to>
      <xdr:col>8</xdr:col>
      <xdr:colOff>238125</xdr:colOff>
      <xdr:row>128</xdr:row>
      <xdr:rowOff>0</xdr:rowOff>
    </xdr:to>
    <xdr:sp>
      <xdr:nvSpPr>
        <xdr:cNvPr id="97" name="Line 97"/>
        <xdr:cNvSpPr>
          <a:spLocks/>
        </xdr:cNvSpPr>
      </xdr:nvSpPr>
      <xdr:spPr>
        <a:xfrm>
          <a:off x="9467850" y="23907750"/>
          <a:ext cx="0" cy="1628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126</xdr:row>
      <xdr:rowOff>142875</xdr:rowOff>
    </xdr:from>
    <xdr:to>
      <xdr:col>8</xdr:col>
      <xdr:colOff>247650</xdr:colOff>
      <xdr:row>126</xdr:row>
      <xdr:rowOff>323850</xdr:rowOff>
    </xdr:to>
    <xdr:sp>
      <xdr:nvSpPr>
        <xdr:cNvPr id="98" name="Line 98"/>
        <xdr:cNvSpPr>
          <a:spLocks/>
        </xdr:cNvSpPr>
      </xdr:nvSpPr>
      <xdr:spPr>
        <a:xfrm flipH="1" flipV="1">
          <a:off x="9229725" y="23736300"/>
          <a:ext cx="24765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145</xdr:row>
      <xdr:rowOff>0</xdr:rowOff>
    </xdr:from>
    <xdr:to>
      <xdr:col>8</xdr:col>
      <xdr:colOff>47625</xdr:colOff>
      <xdr:row>173</xdr:row>
      <xdr:rowOff>0</xdr:rowOff>
    </xdr:to>
    <xdr:sp>
      <xdr:nvSpPr>
        <xdr:cNvPr id="99" name="Line 99"/>
        <xdr:cNvSpPr>
          <a:spLocks/>
        </xdr:cNvSpPr>
      </xdr:nvSpPr>
      <xdr:spPr>
        <a:xfrm flipH="1">
          <a:off x="9267825" y="30308550"/>
          <a:ext cx="9525" cy="4905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158</xdr:row>
      <xdr:rowOff>152400</xdr:rowOff>
    </xdr:from>
    <xdr:to>
      <xdr:col>8</xdr:col>
      <xdr:colOff>219075</xdr:colOff>
      <xdr:row>158</xdr:row>
      <xdr:rowOff>152400</xdr:rowOff>
    </xdr:to>
    <xdr:sp>
      <xdr:nvSpPr>
        <xdr:cNvPr id="100" name="Line 100"/>
        <xdr:cNvSpPr>
          <a:spLocks/>
        </xdr:cNvSpPr>
      </xdr:nvSpPr>
      <xdr:spPr>
        <a:xfrm>
          <a:off x="9277350" y="3324225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159</xdr:row>
      <xdr:rowOff>9525</xdr:rowOff>
    </xdr:from>
    <xdr:to>
      <xdr:col>8</xdr:col>
      <xdr:colOff>247650</xdr:colOff>
      <xdr:row>174</xdr:row>
      <xdr:rowOff>0</xdr:rowOff>
    </xdr:to>
    <xdr:sp>
      <xdr:nvSpPr>
        <xdr:cNvPr id="101" name="Line 101"/>
        <xdr:cNvSpPr>
          <a:spLocks/>
        </xdr:cNvSpPr>
      </xdr:nvSpPr>
      <xdr:spPr>
        <a:xfrm flipH="1">
          <a:off x="9467850" y="33261300"/>
          <a:ext cx="9525" cy="1952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182</xdr:row>
      <xdr:rowOff>28575</xdr:rowOff>
    </xdr:from>
    <xdr:to>
      <xdr:col>8</xdr:col>
      <xdr:colOff>38100</xdr:colOff>
      <xdr:row>203</xdr:row>
      <xdr:rowOff>9525</xdr:rowOff>
    </xdr:to>
    <xdr:sp>
      <xdr:nvSpPr>
        <xdr:cNvPr id="102" name="Line 102"/>
        <xdr:cNvSpPr>
          <a:spLocks/>
        </xdr:cNvSpPr>
      </xdr:nvSpPr>
      <xdr:spPr>
        <a:xfrm flipH="1">
          <a:off x="9267825" y="38242875"/>
          <a:ext cx="0" cy="3590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190</xdr:row>
      <xdr:rowOff>9525</xdr:rowOff>
    </xdr:from>
    <xdr:to>
      <xdr:col>8</xdr:col>
      <xdr:colOff>219075</xdr:colOff>
      <xdr:row>190</xdr:row>
      <xdr:rowOff>9525</xdr:rowOff>
    </xdr:to>
    <xdr:sp>
      <xdr:nvSpPr>
        <xdr:cNvPr id="103" name="Line 103"/>
        <xdr:cNvSpPr>
          <a:spLocks/>
        </xdr:cNvSpPr>
      </xdr:nvSpPr>
      <xdr:spPr>
        <a:xfrm>
          <a:off x="9277350" y="4003357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190</xdr:row>
      <xdr:rowOff>19050</xdr:rowOff>
    </xdr:from>
    <xdr:to>
      <xdr:col>8</xdr:col>
      <xdr:colOff>238125</xdr:colOff>
      <xdr:row>204</xdr:row>
      <xdr:rowOff>9525</xdr:rowOff>
    </xdr:to>
    <xdr:sp>
      <xdr:nvSpPr>
        <xdr:cNvPr id="104" name="Line 104"/>
        <xdr:cNvSpPr>
          <a:spLocks/>
        </xdr:cNvSpPr>
      </xdr:nvSpPr>
      <xdr:spPr>
        <a:xfrm flipH="1">
          <a:off x="9458325" y="40043100"/>
          <a:ext cx="9525" cy="1790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17</xdr:row>
      <xdr:rowOff>9525</xdr:rowOff>
    </xdr:from>
    <xdr:to>
      <xdr:col>8</xdr:col>
      <xdr:colOff>219075</xdr:colOff>
      <xdr:row>26</xdr:row>
      <xdr:rowOff>66675</xdr:rowOff>
    </xdr:to>
    <xdr:sp>
      <xdr:nvSpPr>
        <xdr:cNvPr id="105" name="Line 105"/>
        <xdr:cNvSpPr>
          <a:spLocks/>
        </xdr:cNvSpPr>
      </xdr:nvSpPr>
      <xdr:spPr>
        <a:xfrm>
          <a:off x="9448800" y="3524250"/>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809625</xdr:colOff>
      <xdr:row>26</xdr:row>
      <xdr:rowOff>57150</xdr:rowOff>
    </xdr:from>
    <xdr:to>
      <xdr:col>7</xdr:col>
      <xdr:colOff>228600</xdr:colOff>
      <xdr:row>26</xdr:row>
      <xdr:rowOff>57150</xdr:rowOff>
    </xdr:to>
    <xdr:sp>
      <xdr:nvSpPr>
        <xdr:cNvPr id="106" name="Line 106"/>
        <xdr:cNvSpPr>
          <a:spLocks/>
        </xdr:cNvSpPr>
      </xdr:nvSpPr>
      <xdr:spPr>
        <a:xfrm flipH="1">
          <a:off x="8353425" y="41719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56</xdr:row>
      <xdr:rowOff>152400</xdr:rowOff>
    </xdr:from>
    <xdr:to>
      <xdr:col>8</xdr:col>
      <xdr:colOff>219075</xdr:colOff>
      <xdr:row>57</xdr:row>
      <xdr:rowOff>85725</xdr:rowOff>
    </xdr:to>
    <xdr:sp>
      <xdr:nvSpPr>
        <xdr:cNvPr id="107" name="Line 107"/>
        <xdr:cNvSpPr>
          <a:spLocks/>
        </xdr:cNvSpPr>
      </xdr:nvSpPr>
      <xdr:spPr>
        <a:xfrm rot="10800000" flipV="1">
          <a:off x="9239250" y="9058275"/>
          <a:ext cx="21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71</xdr:row>
      <xdr:rowOff>0</xdr:rowOff>
    </xdr:from>
    <xdr:to>
      <xdr:col>8</xdr:col>
      <xdr:colOff>238125</xdr:colOff>
      <xdr:row>71</xdr:row>
      <xdr:rowOff>66675</xdr:rowOff>
    </xdr:to>
    <xdr:sp>
      <xdr:nvSpPr>
        <xdr:cNvPr id="108" name="Line 108"/>
        <xdr:cNvSpPr>
          <a:spLocks/>
        </xdr:cNvSpPr>
      </xdr:nvSpPr>
      <xdr:spPr>
        <a:xfrm flipH="1">
          <a:off x="9229725" y="1184910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809625</xdr:colOff>
      <xdr:row>104</xdr:row>
      <xdr:rowOff>142875</xdr:rowOff>
    </xdr:from>
    <xdr:to>
      <xdr:col>7</xdr:col>
      <xdr:colOff>238125</xdr:colOff>
      <xdr:row>105</xdr:row>
      <xdr:rowOff>76200</xdr:rowOff>
    </xdr:to>
    <xdr:sp>
      <xdr:nvSpPr>
        <xdr:cNvPr id="109" name="Line 109"/>
        <xdr:cNvSpPr>
          <a:spLocks/>
        </xdr:cNvSpPr>
      </xdr:nvSpPr>
      <xdr:spPr>
        <a:xfrm flipH="1">
          <a:off x="8353425" y="1911667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809625</xdr:colOff>
      <xdr:row>120</xdr:row>
      <xdr:rowOff>95250</xdr:rowOff>
    </xdr:from>
    <xdr:to>
      <xdr:col>7</xdr:col>
      <xdr:colOff>247650</xdr:colOff>
      <xdr:row>120</xdr:row>
      <xdr:rowOff>95250</xdr:rowOff>
    </xdr:to>
    <xdr:sp>
      <xdr:nvSpPr>
        <xdr:cNvPr id="110" name="Line 110"/>
        <xdr:cNvSpPr>
          <a:spLocks/>
        </xdr:cNvSpPr>
      </xdr:nvSpPr>
      <xdr:spPr>
        <a:xfrm flipH="1">
          <a:off x="8353425" y="226790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809625</xdr:colOff>
      <xdr:row>173</xdr:row>
      <xdr:rowOff>133350</xdr:rowOff>
    </xdr:from>
    <xdr:to>
      <xdr:col>7</xdr:col>
      <xdr:colOff>238125</xdr:colOff>
      <xdr:row>174</xdr:row>
      <xdr:rowOff>76200</xdr:rowOff>
    </xdr:to>
    <xdr:sp>
      <xdr:nvSpPr>
        <xdr:cNvPr id="111" name="Line 111"/>
        <xdr:cNvSpPr>
          <a:spLocks/>
        </xdr:cNvSpPr>
      </xdr:nvSpPr>
      <xdr:spPr>
        <a:xfrm flipH="1">
          <a:off x="8353425" y="3521392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809625</xdr:colOff>
      <xdr:row>204</xdr:row>
      <xdr:rowOff>9525</xdr:rowOff>
    </xdr:from>
    <xdr:to>
      <xdr:col>7</xdr:col>
      <xdr:colOff>228600</xdr:colOff>
      <xdr:row>204</xdr:row>
      <xdr:rowOff>85725</xdr:rowOff>
    </xdr:to>
    <xdr:sp>
      <xdr:nvSpPr>
        <xdr:cNvPr id="112" name="Line 112"/>
        <xdr:cNvSpPr>
          <a:spLocks/>
        </xdr:cNvSpPr>
      </xdr:nvSpPr>
      <xdr:spPr>
        <a:xfrm flipH="1">
          <a:off x="8353425" y="4183380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xdr:row>
      <xdr:rowOff>0</xdr:rowOff>
    </xdr:from>
    <xdr:to>
      <xdr:col>4</xdr:col>
      <xdr:colOff>0</xdr:colOff>
      <xdr:row>6</xdr:row>
      <xdr:rowOff>0</xdr:rowOff>
    </xdr:to>
    <xdr:sp>
      <xdr:nvSpPr>
        <xdr:cNvPr id="1" name="Line 2"/>
        <xdr:cNvSpPr>
          <a:spLocks/>
        </xdr:cNvSpPr>
      </xdr:nvSpPr>
      <xdr:spPr>
        <a:xfrm flipV="1">
          <a:off x="6267450" y="122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30</xdr:row>
      <xdr:rowOff>9525</xdr:rowOff>
    </xdr:from>
    <xdr:to>
      <xdr:col>4</xdr:col>
      <xdr:colOff>0</xdr:colOff>
      <xdr:row>30</xdr:row>
      <xdr:rowOff>9525</xdr:rowOff>
    </xdr:to>
    <xdr:sp>
      <xdr:nvSpPr>
        <xdr:cNvPr id="2" name="Line 4"/>
        <xdr:cNvSpPr>
          <a:spLocks/>
        </xdr:cNvSpPr>
      </xdr:nvSpPr>
      <xdr:spPr>
        <a:xfrm flipV="1">
          <a:off x="6267450" y="270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31</xdr:row>
      <xdr:rowOff>0</xdr:rowOff>
    </xdr:from>
    <xdr:to>
      <xdr:col>4</xdr:col>
      <xdr:colOff>0</xdr:colOff>
      <xdr:row>31</xdr:row>
      <xdr:rowOff>0</xdr:rowOff>
    </xdr:to>
    <xdr:sp>
      <xdr:nvSpPr>
        <xdr:cNvPr id="3" name="Line 8"/>
        <xdr:cNvSpPr>
          <a:spLocks/>
        </xdr:cNvSpPr>
      </xdr:nvSpPr>
      <xdr:spPr>
        <a:xfrm flipV="1">
          <a:off x="6267450" y="3190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34</xdr:row>
      <xdr:rowOff>9525</xdr:rowOff>
    </xdr:from>
    <xdr:to>
      <xdr:col>4</xdr:col>
      <xdr:colOff>0</xdr:colOff>
      <xdr:row>34</xdr:row>
      <xdr:rowOff>9525</xdr:rowOff>
    </xdr:to>
    <xdr:sp>
      <xdr:nvSpPr>
        <xdr:cNvPr id="4" name="Line 10"/>
        <xdr:cNvSpPr>
          <a:spLocks/>
        </xdr:cNvSpPr>
      </xdr:nvSpPr>
      <xdr:spPr>
        <a:xfrm flipV="1">
          <a:off x="6267450" y="3686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9525</xdr:rowOff>
    </xdr:from>
    <xdr:to>
      <xdr:col>4</xdr:col>
      <xdr:colOff>0</xdr:colOff>
      <xdr:row>40</xdr:row>
      <xdr:rowOff>9525</xdr:rowOff>
    </xdr:to>
    <xdr:sp>
      <xdr:nvSpPr>
        <xdr:cNvPr id="5" name="Line 13"/>
        <xdr:cNvSpPr>
          <a:spLocks/>
        </xdr:cNvSpPr>
      </xdr:nvSpPr>
      <xdr:spPr>
        <a:xfrm flipV="1">
          <a:off x="6267450" y="5181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52</xdr:row>
      <xdr:rowOff>0</xdr:rowOff>
    </xdr:from>
    <xdr:to>
      <xdr:col>4</xdr:col>
      <xdr:colOff>0</xdr:colOff>
      <xdr:row>52</xdr:row>
      <xdr:rowOff>0</xdr:rowOff>
    </xdr:to>
    <xdr:sp>
      <xdr:nvSpPr>
        <xdr:cNvPr id="6" name="Line 16"/>
        <xdr:cNvSpPr>
          <a:spLocks/>
        </xdr:cNvSpPr>
      </xdr:nvSpPr>
      <xdr:spPr>
        <a:xfrm flipV="1">
          <a:off x="6267450" y="778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64</xdr:row>
      <xdr:rowOff>0</xdr:rowOff>
    </xdr:from>
    <xdr:to>
      <xdr:col>4</xdr:col>
      <xdr:colOff>0</xdr:colOff>
      <xdr:row>64</xdr:row>
      <xdr:rowOff>0</xdr:rowOff>
    </xdr:to>
    <xdr:sp>
      <xdr:nvSpPr>
        <xdr:cNvPr id="7" name="Line 19"/>
        <xdr:cNvSpPr>
          <a:spLocks/>
        </xdr:cNvSpPr>
      </xdr:nvSpPr>
      <xdr:spPr>
        <a:xfrm flipV="1">
          <a:off x="6267450" y="10067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64</xdr:row>
      <xdr:rowOff>0</xdr:rowOff>
    </xdr:from>
    <xdr:to>
      <xdr:col>4</xdr:col>
      <xdr:colOff>0</xdr:colOff>
      <xdr:row>64</xdr:row>
      <xdr:rowOff>0</xdr:rowOff>
    </xdr:to>
    <xdr:sp>
      <xdr:nvSpPr>
        <xdr:cNvPr id="8" name="Line 21"/>
        <xdr:cNvSpPr>
          <a:spLocks/>
        </xdr:cNvSpPr>
      </xdr:nvSpPr>
      <xdr:spPr>
        <a:xfrm>
          <a:off x="6267450" y="10067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66</xdr:row>
      <xdr:rowOff>0</xdr:rowOff>
    </xdr:from>
    <xdr:to>
      <xdr:col>4</xdr:col>
      <xdr:colOff>0</xdr:colOff>
      <xdr:row>66</xdr:row>
      <xdr:rowOff>0</xdr:rowOff>
    </xdr:to>
    <xdr:sp>
      <xdr:nvSpPr>
        <xdr:cNvPr id="9" name="Line 22"/>
        <xdr:cNvSpPr>
          <a:spLocks/>
        </xdr:cNvSpPr>
      </xdr:nvSpPr>
      <xdr:spPr>
        <a:xfrm flipV="1">
          <a:off x="6267450" y="1039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66</xdr:row>
      <xdr:rowOff>0</xdr:rowOff>
    </xdr:from>
    <xdr:to>
      <xdr:col>4</xdr:col>
      <xdr:colOff>0</xdr:colOff>
      <xdr:row>66</xdr:row>
      <xdr:rowOff>0</xdr:rowOff>
    </xdr:to>
    <xdr:sp>
      <xdr:nvSpPr>
        <xdr:cNvPr id="10" name="Line 23"/>
        <xdr:cNvSpPr>
          <a:spLocks/>
        </xdr:cNvSpPr>
      </xdr:nvSpPr>
      <xdr:spPr>
        <a:xfrm flipV="1">
          <a:off x="6267450" y="103917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66</xdr:row>
      <xdr:rowOff>0</xdr:rowOff>
    </xdr:from>
    <xdr:to>
      <xdr:col>4</xdr:col>
      <xdr:colOff>0</xdr:colOff>
      <xdr:row>66</xdr:row>
      <xdr:rowOff>0</xdr:rowOff>
    </xdr:to>
    <xdr:sp>
      <xdr:nvSpPr>
        <xdr:cNvPr id="11" name="Line 24"/>
        <xdr:cNvSpPr>
          <a:spLocks/>
        </xdr:cNvSpPr>
      </xdr:nvSpPr>
      <xdr:spPr>
        <a:xfrm>
          <a:off x="6267450" y="1039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238125</xdr:colOff>
      <xdr:row>32</xdr:row>
      <xdr:rowOff>0</xdr:rowOff>
    </xdr:from>
    <xdr:to>
      <xdr:col>4</xdr:col>
      <xdr:colOff>238125</xdr:colOff>
      <xdr:row>32</xdr:row>
      <xdr:rowOff>0</xdr:rowOff>
    </xdr:to>
    <xdr:sp>
      <xdr:nvSpPr>
        <xdr:cNvPr id="12" name="Line 32"/>
        <xdr:cNvSpPr>
          <a:spLocks/>
        </xdr:cNvSpPr>
      </xdr:nvSpPr>
      <xdr:spPr>
        <a:xfrm>
          <a:off x="6505575" y="335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238125</xdr:colOff>
      <xdr:row>37</xdr:row>
      <xdr:rowOff>323850</xdr:rowOff>
    </xdr:from>
    <xdr:to>
      <xdr:col>4</xdr:col>
      <xdr:colOff>238125</xdr:colOff>
      <xdr:row>38</xdr:row>
      <xdr:rowOff>0</xdr:rowOff>
    </xdr:to>
    <xdr:sp>
      <xdr:nvSpPr>
        <xdr:cNvPr id="13" name="Line 39"/>
        <xdr:cNvSpPr>
          <a:spLocks/>
        </xdr:cNvSpPr>
      </xdr:nvSpPr>
      <xdr:spPr>
        <a:xfrm>
          <a:off x="6505575" y="466725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15</xdr:row>
      <xdr:rowOff>0</xdr:rowOff>
    </xdr:from>
    <xdr:to>
      <xdr:col>7</xdr:col>
      <xdr:colOff>0</xdr:colOff>
      <xdr:row>19</xdr:row>
      <xdr:rowOff>0</xdr:rowOff>
    </xdr:to>
    <xdr:sp>
      <xdr:nvSpPr>
        <xdr:cNvPr id="1" name="Line 1"/>
        <xdr:cNvSpPr>
          <a:spLocks/>
        </xdr:cNvSpPr>
      </xdr:nvSpPr>
      <xdr:spPr>
        <a:xfrm>
          <a:off x="8382000" y="3190875"/>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17</xdr:row>
      <xdr:rowOff>0</xdr:rowOff>
    </xdr:from>
    <xdr:to>
      <xdr:col>7</xdr:col>
      <xdr:colOff>466725</xdr:colOff>
      <xdr:row>17</xdr:row>
      <xdr:rowOff>0</xdr:rowOff>
    </xdr:to>
    <xdr:sp>
      <xdr:nvSpPr>
        <xdr:cNvPr id="2" name="Line 2"/>
        <xdr:cNvSpPr>
          <a:spLocks/>
        </xdr:cNvSpPr>
      </xdr:nvSpPr>
      <xdr:spPr>
        <a:xfrm flipV="1">
          <a:off x="8382000" y="351472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15</xdr:row>
      <xdr:rowOff>0</xdr:rowOff>
    </xdr:from>
    <xdr:to>
      <xdr:col>7</xdr:col>
      <xdr:colOff>466725</xdr:colOff>
      <xdr:row>17</xdr:row>
      <xdr:rowOff>0</xdr:rowOff>
    </xdr:to>
    <xdr:sp>
      <xdr:nvSpPr>
        <xdr:cNvPr id="3" name="Line 3"/>
        <xdr:cNvSpPr>
          <a:spLocks/>
        </xdr:cNvSpPr>
      </xdr:nvSpPr>
      <xdr:spPr>
        <a:xfrm flipV="1">
          <a:off x="8848725" y="31908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41</xdr:row>
      <xdr:rowOff>9525</xdr:rowOff>
    </xdr:from>
    <xdr:to>
      <xdr:col>7</xdr:col>
      <xdr:colOff>466725</xdr:colOff>
      <xdr:row>41</xdr:row>
      <xdr:rowOff>9525</xdr:rowOff>
    </xdr:to>
    <xdr:sp>
      <xdr:nvSpPr>
        <xdr:cNvPr id="4" name="Line 4"/>
        <xdr:cNvSpPr>
          <a:spLocks/>
        </xdr:cNvSpPr>
      </xdr:nvSpPr>
      <xdr:spPr>
        <a:xfrm flipV="1">
          <a:off x="8382000" y="740092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46</xdr:row>
      <xdr:rowOff>0</xdr:rowOff>
    </xdr:from>
    <xdr:to>
      <xdr:col>7</xdr:col>
      <xdr:colOff>0</xdr:colOff>
      <xdr:row>50</xdr:row>
      <xdr:rowOff>0</xdr:rowOff>
    </xdr:to>
    <xdr:sp>
      <xdr:nvSpPr>
        <xdr:cNvPr id="5" name="Line 5"/>
        <xdr:cNvSpPr>
          <a:spLocks/>
        </xdr:cNvSpPr>
      </xdr:nvSpPr>
      <xdr:spPr>
        <a:xfrm>
          <a:off x="8382000" y="8048625"/>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40</xdr:row>
      <xdr:rowOff>0</xdr:rowOff>
    </xdr:from>
    <xdr:to>
      <xdr:col>7</xdr:col>
      <xdr:colOff>0</xdr:colOff>
      <xdr:row>42</xdr:row>
      <xdr:rowOff>0</xdr:rowOff>
    </xdr:to>
    <xdr:sp>
      <xdr:nvSpPr>
        <xdr:cNvPr id="6" name="Line 6"/>
        <xdr:cNvSpPr>
          <a:spLocks/>
        </xdr:cNvSpPr>
      </xdr:nvSpPr>
      <xdr:spPr>
        <a:xfrm>
          <a:off x="8382000" y="7229475"/>
          <a:ext cx="0" cy="657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40</xdr:row>
      <xdr:rowOff>0</xdr:rowOff>
    </xdr:from>
    <xdr:to>
      <xdr:col>7</xdr:col>
      <xdr:colOff>466725</xdr:colOff>
      <xdr:row>41</xdr:row>
      <xdr:rowOff>0</xdr:rowOff>
    </xdr:to>
    <xdr:sp>
      <xdr:nvSpPr>
        <xdr:cNvPr id="7" name="Line 7"/>
        <xdr:cNvSpPr>
          <a:spLocks/>
        </xdr:cNvSpPr>
      </xdr:nvSpPr>
      <xdr:spPr>
        <a:xfrm flipV="1">
          <a:off x="8848725" y="722947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48</xdr:row>
      <xdr:rowOff>0</xdr:rowOff>
    </xdr:from>
    <xdr:to>
      <xdr:col>7</xdr:col>
      <xdr:colOff>466725</xdr:colOff>
      <xdr:row>48</xdr:row>
      <xdr:rowOff>0</xdr:rowOff>
    </xdr:to>
    <xdr:sp>
      <xdr:nvSpPr>
        <xdr:cNvPr id="8" name="Line 8"/>
        <xdr:cNvSpPr>
          <a:spLocks/>
        </xdr:cNvSpPr>
      </xdr:nvSpPr>
      <xdr:spPr>
        <a:xfrm flipV="1">
          <a:off x="8382000" y="837247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46</xdr:row>
      <xdr:rowOff>0</xdr:rowOff>
    </xdr:from>
    <xdr:to>
      <xdr:col>7</xdr:col>
      <xdr:colOff>466725</xdr:colOff>
      <xdr:row>48</xdr:row>
      <xdr:rowOff>0</xdr:rowOff>
    </xdr:to>
    <xdr:sp>
      <xdr:nvSpPr>
        <xdr:cNvPr id="9" name="Line 9"/>
        <xdr:cNvSpPr>
          <a:spLocks/>
        </xdr:cNvSpPr>
      </xdr:nvSpPr>
      <xdr:spPr>
        <a:xfrm flipV="1">
          <a:off x="8848725" y="804862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82</xdr:row>
      <xdr:rowOff>9525</xdr:rowOff>
    </xdr:from>
    <xdr:to>
      <xdr:col>7</xdr:col>
      <xdr:colOff>466725</xdr:colOff>
      <xdr:row>82</xdr:row>
      <xdr:rowOff>9525</xdr:rowOff>
    </xdr:to>
    <xdr:sp>
      <xdr:nvSpPr>
        <xdr:cNvPr id="10" name="Line 10"/>
        <xdr:cNvSpPr>
          <a:spLocks/>
        </xdr:cNvSpPr>
      </xdr:nvSpPr>
      <xdr:spPr>
        <a:xfrm flipV="1">
          <a:off x="8382000" y="1429702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81</xdr:row>
      <xdr:rowOff>0</xdr:rowOff>
    </xdr:from>
    <xdr:to>
      <xdr:col>7</xdr:col>
      <xdr:colOff>0</xdr:colOff>
      <xdr:row>83</xdr:row>
      <xdr:rowOff>0</xdr:rowOff>
    </xdr:to>
    <xdr:sp>
      <xdr:nvSpPr>
        <xdr:cNvPr id="11" name="Line 11"/>
        <xdr:cNvSpPr>
          <a:spLocks/>
        </xdr:cNvSpPr>
      </xdr:nvSpPr>
      <xdr:spPr>
        <a:xfrm>
          <a:off x="8382000" y="14125575"/>
          <a:ext cx="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81</xdr:row>
      <xdr:rowOff>0</xdr:rowOff>
    </xdr:from>
    <xdr:to>
      <xdr:col>7</xdr:col>
      <xdr:colOff>466725</xdr:colOff>
      <xdr:row>82</xdr:row>
      <xdr:rowOff>0</xdr:rowOff>
    </xdr:to>
    <xdr:sp>
      <xdr:nvSpPr>
        <xdr:cNvPr id="12" name="Line 12"/>
        <xdr:cNvSpPr>
          <a:spLocks/>
        </xdr:cNvSpPr>
      </xdr:nvSpPr>
      <xdr:spPr>
        <a:xfrm flipV="1">
          <a:off x="8848725" y="1412557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118</xdr:row>
      <xdr:rowOff>9525</xdr:rowOff>
    </xdr:from>
    <xdr:to>
      <xdr:col>7</xdr:col>
      <xdr:colOff>466725</xdr:colOff>
      <xdr:row>118</xdr:row>
      <xdr:rowOff>9525</xdr:rowOff>
    </xdr:to>
    <xdr:sp>
      <xdr:nvSpPr>
        <xdr:cNvPr id="13" name="Line 13"/>
        <xdr:cNvSpPr>
          <a:spLocks/>
        </xdr:cNvSpPr>
      </xdr:nvSpPr>
      <xdr:spPr>
        <a:xfrm flipV="1">
          <a:off x="8382000" y="2242185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117</xdr:row>
      <xdr:rowOff>0</xdr:rowOff>
    </xdr:from>
    <xdr:to>
      <xdr:col>7</xdr:col>
      <xdr:colOff>466725</xdr:colOff>
      <xdr:row>118</xdr:row>
      <xdr:rowOff>0</xdr:rowOff>
    </xdr:to>
    <xdr:sp>
      <xdr:nvSpPr>
        <xdr:cNvPr id="14" name="Line 14"/>
        <xdr:cNvSpPr>
          <a:spLocks/>
        </xdr:cNvSpPr>
      </xdr:nvSpPr>
      <xdr:spPr>
        <a:xfrm flipV="1">
          <a:off x="8848725" y="22078950"/>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117</xdr:row>
      <xdr:rowOff>9525</xdr:rowOff>
    </xdr:from>
    <xdr:to>
      <xdr:col>7</xdr:col>
      <xdr:colOff>0</xdr:colOff>
      <xdr:row>120</xdr:row>
      <xdr:rowOff>0</xdr:rowOff>
    </xdr:to>
    <xdr:sp>
      <xdr:nvSpPr>
        <xdr:cNvPr id="15" name="Line 15"/>
        <xdr:cNvSpPr>
          <a:spLocks/>
        </xdr:cNvSpPr>
      </xdr:nvSpPr>
      <xdr:spPr>
        <a:xfrm>
          <a:off x="8382000" y="22088475"/>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150</xdr:row>
      <xdr:rowOff>0</xdr:rowOff>
    </xdr:from>
    <xdr:to>
      <xdr:col>7</xdr:col>
      <xdr:colOff>466725</xdr:colOff>
      <xdr:row>150</xdr:row>
      <xdr:rowOff>0</xdr:rowOff>
    </xdr:to>
    <xdr:sp>
      <xdr:nvSpPr>
        <xdr:cNvPr id="16" name="Line 16"/>
        <xdr:cNvSpPr>
          <a:spLocks/>
        </xdr:cNvSpPr>
      </xdr:nvSpPr>
      <xdr:spPr>
        <a:xfrm flipV="1">
          <a:off x="8382000" y="3173730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148</xdr:row>
      <xdr:rowOff>0</xdr:rowOff>
    </xdr:from>
    <xdr:to>
      <xdr:col>7</xdr:col>
      <xdr:colOff>466725</xdr:colOff>
      <xdr:row>150</xdr:row>
      <xdr:rowOff>0</xdr:rowOff>
    </xdr:to>
    <xdr:sp>
      <xdr:nvSpPr>
        <xdr:cNvPr id="17" name="Line 17"/>
        <xdr:cNvSpPr>
          <a:spLocks/>
        </xdr:cNvSpPr>
      </xdr:nvSpPr>
      <xdr:spPr>
        <a:xfrm flipV="1">
          <a:off x="8848725" y="31413450"/>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148</xdr:row>
      <xdr:rowOff>0</xdr:rowOff>
    </xdr:from>
    <xdr:to>
      <xdr:col>7</xdr:col>
      <xdr:colOff>0</xdr:colOff>
      <xdr:row>153</xdr:row>
      <xdr:rowOff>0</xdr:rowOff>
    </xdr:to>
    <xdr:sp>
      <xdr:nvSpPr>
        <xdr:cNvPr id="18" name="Line 18"/>
        <xdr:cNvSpPr>
          <a:spLocks/>
        </xdr:cNvSpPr>
      </xdr:nvSpPr>
      <xdr:spPr>
        <a:xfrm>
          <a:off x="8382000" y="31413450"/>
          <a:ext cx="0"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165</xdr:row>
      <xdr:rowOff>0</xdr:rowOff>
    </xdr:from>
    <xdr:to>
      <xdr:col>7</xdr:col>
      <xdr:colOff>466725</xdr:colOff>
      <xdr:row>165</xdr:row>
      <xdr:rowOff>0</xdr:rowOff>
    </xdr:to>
    <xdr:sp>
      <xdr:nvSpPr>
        <xdr:cNvPr id="19" name="Line 19"/>
        <xdr:cNvSpPr>
          <a:spLocks/>
        </xdr:cNvSpPr>
      </xdr:nvSpPr>
      <xdr:spPr>
        <a:xfrm flipV="1">
          <a:off x="8382000" y="3483292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163</xdr:row>
      <xdr:rowOff>0</xdr:rowOff>
    </xdr:from>
    <xdr:to>
      <xdr:col>7</xdr:col>
      <xdr:colOff>466725</xdr:colOff>
      <xdr:row>165</xdr:row>
      <xdr:rowOff>0</xdr:rowOff>
    </xdr:to>
    <xdr:sp>
      <xdr:nvSpPr>
        <xdr:cNvPr id="20" name="Line 20"/>
        <xdr:cNvSpPr>
          <a:spLocks/>
        </xdr:cNvSpPr>
      </xdr:nvSpPr>
      <xdr:spPr>
        <a:xfrm flipV="1">
          <a:off x="8848725" y="345090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163</xdr:row>
      <xdr:rowOff>0</xdr:rowOff>
    </xdr:from>
    <xdr:to>
      <xdr:col>7</xdr:col>
      <xdr:colOff>0</xdr:colOff>
      <xdr:row>167</xdr:row>
      <xdr:rowOff>0</xdr:rowOff>
    </xdr:to>
    <xdr:sp>
      <xdr:nvSpPr>
        <xdr:cNvPr id="21" name="Line 21"/>
        <xdr:cNvSpPr>
          <a:spLocks/>
        </xdr:cNvSpPr>
      </xdr:nvSpPr>
      <xdr:spPr>
        <a:xfrm>
          <a:off x="8382000" y="34509075"/>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196</xdr:row>
      <xdr:rowOff>0</xdr:rowOff>
    </xdr:from>
    <xdr:to>
      <xdr:col>7</xdr:col>
      <xdr:colOff>466725</xdr:colOff>
      <xdr:row>196</xdr:row>
      <xdr:rowOff>0</xdr:rowOff>
    </xdr:to>
    <xdr:sp>
      <xdr:nvSpPr>
        <xdr:cNvPr id="22" name="Line 22"/>
        <xdr:cNvSpPr>
          <a:spLocks/>
        </xdr:cNvSpPr>
      </xdr:nvSpPr>
      <xdr:spPr>
        <a:xfrm flipV="1">
          <a:off x="8382000" y="4151947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194</xdr:row>
      <xdr:rowOff>0</xdr:rowOff>
    </xdr:from>
    <xdr:to>
      <xdr:col>7</xdr:col>
      <xdr:colOff>466725</xdr:colOff>
      <xdr:row>196</xdr:row>
      <xdr:rowOff>0</xdr:rowOff>
    </xdr:to>
    <xdr:sp>
      <xdr:nvSpPr>
        <xdr:cNvPr id="23" name="Line 23"/>
        <xdr:cNvSpPr>
          <a:spLocks/>
        </xdr:cNvSpPr>
      </xdr:nvSpPr>
      <xdr:spPr>
        <a:xfrm flipV="1">
          <a:off x="8848725" y="4119562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194</xdr:row>
      <xdr:rowOff>0</xdr:rowOff>
    </xdr:from>
    <xdr:to>
      <xdr:col>7</xdr:col>
      <xdr:colOff>0</xdr:colOff>
      <xdr:row>198</xdr:row>
      <xdr:rowOff>0</xdr:rowOff>
    </xdr:to>
    <xdr:sp>
      <xdr:nvSpPr>
        <xdr:cNvPr id="24" name="Line 24"/>
        <xdr:cNvSpPr>
          <a:spLocks/>
        </xdr:cNvSpPr>
      </xdr:nvSpPr>
      <xdr:spPr>
        <a:xfrm>
          <a:off x="8382000" y="41195625"/>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12</xdr:row>
      <xdr:rowOff>0</xdr:rowOff>
    </xdr:from>
    <xdr:to>
      <xdr:col>8</xdr:col>
      <xdr:colOff>38100</xdr:colOff>
      <xdr:row>26</xdr:row>
      <xdr:rowOff>66675</xdr:rowOff>
    </xdr:to>
    <xdr:sp>
      <xdr:nvSpPr>
        <xdr:cNvPr id="25" name="Line 25"/>
        <xdr:cNvSpPr>
          <a:spLocks/>
        </xdr:cNvSpPr>
      </xdr:nvSpPr>
      <xdr:spPr>
        <a:xfrm>
          <a:off x="9296400" y="2362200"/>
          <a:ext cx="0" cy="1971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18</xdr:row>
      <xdr:rowOff>0</xdr:rowOff>
    </xdr:from>
    <xdr:to>
      <xdr:col>8</xdr:col>
      <xdr:colOff>219075</xdr:colOff>
      <xdr:row>18</xdr:row>
      <xdr:rowOff>0</xdr:rowOff>
    </xdr:to>
    <xdr:sp>
      <xdr:nvSpPr>
        <xdr:cNvPr id="26" name="Line 26"/>
        <xdr:cNvSpPr>
          <a:spLocks/>
        </xdr:cNvSpPr>
      </xdr:nvSpPr>
      <xdr:spPr>
        <a:xfrm>
          <a:off x="9305925" y="367665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36</xdr:row>
      <xdr:rowOff>0</xdr:rowOff>
    </xdr:from>
    <xdr:to>
      <xdr:col>8</xdr:col>
      <xdr:colOff>38100</xdr:colOff>
      <xdr:row>57</xdr:row>
      <xdr:rowOff>0</xdr:rowOff>
    </xdr:to>
    <xdr:sp>
      <xdr:nvSpPr>
        <xdr:cNvPr id="27" name="Line 27"/>
        <xdr:cNvSpPr>
          <a:spLocks/>
        </xdr:cNvSpPr>
      </xdr:nvSpPr>
      <xdr:spPr>
        <a:xfrm flipH="1">
          <a:off x="9286875" y="6410325"/>
          <a:ext cx="9525" cy="2781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42</xdr:row>
      <xdr:rowOff>0</xdr:rowOff>
    </xdr:from>
    <xdr:to>
      <xdr:col>8</xdr:col>
      <xdr:colOff>219075</xdr:colOff>
      <xdr:row>42</xdr:row>
      <xdr:rowOff>0</xdr:rowOff>
    </xdr:to>
    <xdr:sp>
      <xdr:nvSpPr>
        <xdr:cNvPr id="28" name="Line 28"/>
        <xdr:cNvSpPr>
          <a:spLocks/>
        </xdr:cNvSpPr>
      </xdr:nvSpPr>
      <xdr:spPr>
        <a:xfrm>
          <a:off x="9305925" y="788670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42</xdr:row>
      <xdr:rowOff>9525</xdr:rowOff>
    </xdr:from>
    <xdr:to>
      <xdr:col>8</xdr:col>
      <xdr:colOff>219075</xdr:colOff>
      <xdr:row>57</xdr:row>
      <xdr:rowOff>152400</xdr:rowOff>
    </xdr:to>
    <xdr:sp>
      <xdr:nvSpPr>
        <xdr:cNvPr id="29" name="Line 29"/>
        <xdr:cNvSpPr>
          <a:spLocks/>
        </xdr:cNvSpPr>
      </xdr:nvSpPr>
      <xdr:spPr>
        <a:xfrm>
          <a:off x="9477375" y="7886700"/>
          <a:ext cx="0" cy="1304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65</xdr:row>
      <xdr:rowOff>19050</xdr:rowOff>
    </xdr:from>
    <xdr:to>
      <xdr:col>8</xdr:col>
      <xdr:colOff>47625</xdr:colOff>
      <xdr:row>71</xdr:row>
      <xdr:rowOff>0</xdr:rowOff>
    </xdr:to>
    <xdr:sp>
      <xdr:nvSpPr>
        <xdr:cNvPr id="30" name="Line 30"/>
        <xdr:cNvSpPr>
          <a:spLocks/>
        </xdr:cNvSpPr>
      </xdr:nvSpPr>
      <xdr:spPr>
        <a:xfrm>
          <a:off x="9305925" y="10515600"/>
          <a:ext cx="0" cy="1466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67</xdr:row>
      <xdr:rowOff>0</xdr:rowOff>
    </xdr:from>
    <xdr:to>
      <xdr:col>8</xdr:col>
      <xdr:colOff>219075</xdr:colOff>
      <xdr:row>67</xdr:row>
      <xdr:rowOff>0</xdr:rowOff>
    </xdr:to>
    <xdr:sp>
      <xdr:nvSpPr>
        <xdr:cNvPr id="31" name="Line 31"/>
        <xdr:cNvSpPr>
          <a:spLocks/>
        </xdr:cNvSpPr>
      </xdr:nvSpPr>
      <xdr:spPr>
        <a:xfrm>
          <a:off x="9305925" y="1099185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67</xdr:row>
      <xdr:rowOff>0</xdr:rowOff>
    </xdr:from>
    <xdr:to>
      <xdr:col>8</xdr:col>
      <xdr:colOff>238125</xdr:colOff>
      <xdr:row>71</xdr:row>
      <xdr:rowOff>152400</xdr:rowOff>
    </xdr:to>
    <xdr:sp>
      <xdr:nvSpPr>
        <xdr:cNvPr id="32" name="Line 32"/>
        <xdr:cNvSpPr>
          <a:spLocks/>
        </xdr:cNvSpPr>
      </xdr:nvSpPr>
      <xdr:spPr>
        <a:xfrm>
          <a:off x="9496425" y="10991850"/>
          <a:ext cx="0" cy="990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828675</xdr:colOff>
      <xdr:row>89</xdr:row>
      <xdr:rowOff>152400</xdr:rowOff>
    </xdr:from>
    <xdr:to>
      <xdr:col>8</xdr:col>
      <xdr:colOff>219075</xdr:colOff>
      <xdr:row>91</xdr:row>
      <xdr:rowOff>76200</xdr:rowOff>
    </xdr:to>
    <xdr:sp>
      <xdr:nvSpPr>
        <xdr:cNvPr id="33" name="Line 33"/>
        <xdr:cNvSpPr>
          <a:spLocks/>
        </xdr:cNvSpPr>
      </xdr:nvSpPr>
      <xdr:spPr>
        <a:xfrm flipH="1">
          <a:off x="9210675" y="15935325"/>
          <a:ext cx="2667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76</xdr:row>
      <xdr:rowOff>657225</xdr:rowOff>
    </xdr:from>
    <xdr:to>
      <xdr:col>8</xdr:col>
      <xdr:colOff>38100</xdr:colOff>
      <xdr:row>90</xdr:row>
      <xdr:rowOff>0</xdr:rowOff>
    </xdr:to>
    <xdr:sp>
      <xdr:nvSpPr>
        <xdr:cNvPr id="34" name="Line 34"/>
        <xdr:cNvSpPr>
          <a:spLocks/>
        </xdr:cNvSpPr>
      </xdr:nvSpPr>
      <xdr:spPr>
        <a:xfrm>
          <a:off x="9296400" y="13125450"/>
          <a:ext cx="0" cy="2819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82</xdr:row>
      <xdr:rowOff>95250</xdr:rowOff>
    </xdr:from>
    <xdr:to>
      <xdr:col>8</xdr:col>
      <xdr:colOff>219075</xdr:colOff>
      <xdr:row>82</xdr:row>
      <xdr:rowOff>95250</xdr:rowOff>
    </xdr:to>
    <xdr:sp>
      <xdr:nvSpPr>
        <xdr:cNvPr id="35" name="Line 35"/>
        <xdr:cNvSpPr>
          <a:spLocks/>
        </xdr:cNvSpPr>
      </xdr:nvSpPr>
      <xdr:spPr>
        <a:xfrm>
          <a:off x="9305925" y="1438275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82</xdr:row>
      <xdr:rowOff>95250</xdr:rowOff>
    </xdr:from>
    <xdr:to>
      <xdr:col>8</xdr:col>
      <xdr:colOff>228600</xdr:colOff>
      <xdr:row>89</xdr:row>
      <xdr:rowOff>133350</xdr:rowOff>
    </xdr:to>
    <xdr:sp>
      <xdr:nvSpPr>
        <xdr:cNvPr id="36" name="Line 36"/>
        <xdr:cNvSpPr>
          <a:spLocks/>
        </xdr:cNvSpPr>
      </xdr:nvSpPr>
      <xdr:spPr>
        <a:xfrm>
          <a:off x="9486900" y="14382750"/>
          <a:ext cx="0" cy="1533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98</xdr:row>
      <xdr:rowOff>95250</xdr:rowOff>
    </xdr:from>
    <xdr:to>
      <xdr:col>8</xdr:col>
      <xdr:colOff>47625</xdr:colOff>
      <xdr:row>105</xdr:row>
      <xdr:rowOff>0</xdr:rowOff>
    </xdr:to>
    <xdr:sp>
      <xdr:nvSpPr>
        <xdr:cNvPr id="37" name="Line 37"/>
        <xdr:cNvSpPr>
          <a:spLocks/>
        </xdr:cNvSpPr>
      </xdr:nvSpPr>
      <xdr:spPr>
        <a:xfrm flipH="1">
          <a:off x="9296400" y="17183100"/>
          <a:ext cx="9525" cy="2066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101</xdr:row>
      <xdr:rowOff>0</xdr:rowOff>
    </xdr:from>
    <xdr:to>
      <xdr:col>8</xdr:col>
      <xdr:colOff>219075</xdr:colOff>
      <xdr:row>101</xdr:row>
      <xdr:rowOff>0</xdr:rowOff>
    </xdr:to>
    <xdr:sp>
      <xdr:nvSpPr>
        <xdr:cNvPr id="38" name="Line 38"/>
        <xdr:cNvSpPr>
          <a:spLocks/>
        </xdr:cNvSpPr>
      </xdr:nvSpPr>
      <xdr:spPr>
        <a:xfrm>
          <a:off x="9305925" y="1808797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100</xdr:row>
      <xdr:rowOff>323850</xdr:rowOff>
    </xdr:from>
    <xdr:to>
      <xdr:col>8</xdr:col>
      <xdr:colOff>238125</xdr:colOff>
      <xdr:row>105</xdr:row>
      <xdr:rowOff>133350</xdr:rowOff>
    </xdr:to>
    <xdr:sp>
      <xdr:nvSpPr>
        <xdr:cNvPr id="39" name="Line 39"/>
        <xdr:cNvSpPr>
          <a:spLocks/>
        </xdr:cNvSpPr>
      </xdr:nvSpPr>
      <xdr:spPr>
        <a:xfrm>
          <a:off x="9496425" y="18078450"/>
          <a:ext cx="0" cy="1171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112</xdr:row>
      <xdr:rowOff>485775</xdr:rowOff>
    </xdr:from>
    <xdr:to>
      <xdr:col>8</xdr:col>
      <xdr:colOff>47625</xdr:colOff>
      <xdr:row>120</xdr:row>
      <xdr:rowOff>0</xdr:rowOff>
    </xdr:to>
    <xdr:sp>
      <xdr:nvSpPr>
        <xdr:cNvPr id="40" name="Line 40"/>
        <xdr:cNvSpPr>
          <a:spLocks/>
        </xdr:cNvSpPr>
      </xdr:nvSpPr>
      <xdr:spPr>
        <a:xfrm flipH="1">
          <a:off x="9296400" y="20650200"/>
          <a:ext cx="9525" cy="2085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115</xdr:row>
      <xdr:rowOff>0</xdr:rowOff>
    </xdr:from>
    <xdr:to>
      <xdr:col>8</xdr:col>
      <xdr:colOff>219075</xdr:colOff>
      <xdr:row>115</xdr:row>
      <xdr:rowOff>0</xdr:rowOff>
    </xdr:to>
    <xdr:sp>
      <xdr:nvSpPr>
        <xdr:cNvPr id="41" name="Line 41"/>
        <xdr:cNvSpPr>
          <a:spLocks/>
        </xdr:cNvSpPr>
      </xdr:nvSpPr>
      <xdr:spPr>
        <a:xfrm>
          <a:off x="9305925" y="2174557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247650</xdr:colOff>
      <xdr:row>116</xdr:row>
      <xdr:rowOff>9525</xdr:rowOff>
    </xdr:from>
    <xdr:to>
      <xdr:col>8</xdr:col>
      <xdr:colOff>247650</xdr:colOff>
      <xdr:row>121</xdr:row>
      <xdr:rowOff>104775</xdr:rowOff>
    </xdr:to>
    <xdr:sp>
      <xdr:nvSpPr>
        <xdr:cNvPr id="42" name="Line 42"/>
        <xdr:cNvSpPr>
          <a:spLocks/>
        </xdr:cNvSpPr>
      </xdr:nvSpPr>
      <xdr:spPr>
        <a:xfrm>
          <a:off x="9505950" y="22078950"/>
          <a:ext cx="0" cy="657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127</xdr:row>
      <xdr:rowOff>971550</xdr:rowOff>
    </xdr:from>
    <xdr:to>
      <xdr:col>8</xdr:col>
      <xdr:colOff>47625</xdr:colOff>
      <xdr:row>135</xdr:row>
      <xdr:rowOff>0</xdr:rowOff>
    </xdr:to>
    <xdr:sp>
      <xdr:nvSpPr>
        <xdr:cNvPr id="43" name="Line 43"/>
        <xdr:cNvSpPr>
          <a:spLocks/>
        </xdr:cNvSpPr>
      </xdr:nvSpPr>
      <xdr:spPr>
        <a:xfrm flipH="1">
          <a:off x="9296400" y="24622125"/>
          <a:ext cx="9525" cy="2114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129</xdr:row>
      <xdr:rowOff>0</xdr:rowOff>
    </xdr:from>
    <xdr:to>
      <xdr:col>8</xdr:col>
      <xdr:colOff>219075</xdr:colOff>
      <xdr:row>129</xdr:row>
      <xdr:rowOff>0</xdr:rowOff>
    </xdr:to>
    <xdr:sp>
      <xdr:nvSpPr>
        <xdr:cNvPr id="44" name="Line 44"/>
        <xdr:cNvSpPr>
          <a:spLocks/>
        </xdr:cNvSpPr>
      </xdr:nvSpPr>
      <xdr:spPr>
        <a:xfrm>
          <a:off x="9305925" y="2559367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127</xdr:row>
      <xdr:rowOff>314325</xdr:rowOff>
    </xdr:from>
    <xdr:to>
      <xdr:col>8</xdr:col>
      <xdr:colOff>238125</xdr:colOff>
      <xdr:row>129</xdr:row>
      <xdr:rowOff>0</xdr:rowOff>
    </xdr:to>
    <xdr:sp>
      <xdr:nvSpPr>
        <xdr:cNvPr id="45" name="Line 45"/>
        <xdr:cNvSpPr>
          <a:spLocks/>
        </xdr:cNvSpPr>
      </xdr:nvSpPr>
      <xdr:spPr>
        <a:xfrm>
          <a:off x="9496425" y="23964900"/>
          <a:ext cx="0" cy="1628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127</xdr:row>
      <xdr:rowOff>142875</xdr:rowOff>
    </xdr:from>
    <xdr:to>
      <xdr:col>8</xdr:col>
      <xdr:colOff>247650</xdr:colOff>
      <xdr:row>127</xdr:row>
      <xdr:rowOff>323850</xdr:rowOff>
    </xdr:to>
    <xdr:sp>
      <xdr:nvSpPr>
        <xdr:cNvPr id="46" name="Line 46"/>
        <xdr:cNvSpPr>
          <a:spLocks/>
        </xdr:cNvSpPr>
      </xdr:nvSpPr>
      <xdr:spPr>
        <a:xfrm flipH="1" flipV="1">
          <a:off x="9258300" y="23793450"/>
          <a:ext cx="24765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146</xdr:row>
      <xdr:rowOff>0</xdr:rowOff>
    </xdr:from>
    <xdr:to>
      <xdr:col>8</xdr:col>
      <xdr:colOff>47625</xdr:colOff>
      <xdr:row>174</xdr:row>
      <xdr:rowOff>0</xdr:rowOff>
    </xdr:to>
    <xdr:sp>
      <xdr:nvSpPr>
        <xdr:cNvPr id="47" name="Line 47"/>
        <xdr:cNvSpPr>
          <a:spLocks/>
        </xdr:cNvSpPr>
      </xdr:nvSpPr>
      <xdr:spPr>
        <a:xfrm flipH="1">
          <a:off x="9296400" y="30746700"/>
          <a:ext cx="9525" cy="4905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159</xdr:row>
      <xdr:rowOff>152400</xdr:rowOff>
    </xdr:from>
    <xdr:to>
      <xdr:col>8</xdr:col>
      <xdr:colOff>219075</xdr:colOff>
      <xdr:row>159</xdr:row>
      <xdr:rowOff>152400</xdr:rowOff>
    </xdr:to>
    <xdr:sp>
      <xdr:nvSpPr>
        <xdr:cNvPr id="48" name="Line 48"/>
        <xdr:cNvSpPr>
          <a:spLocks/>
        </xdr:cNvSpPr>
      </xdr:nvSpPr>
      <xdr:spPr>
        <a:xfrm>
          <a:off x="9305925" y="3368040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160</xdr:row>
      <xdr:rowOff>9525</xdr:rowOff>
    </xdr:from>
    <xdr:to>
      <xdr:col>8</xdr:col>
      <xdr:colOff>247650</xdr:colOff>
      <xdr:row>175</xdr:row>
      <xdr:rowOff>0</xdr:rowOff>
    </xdr:to>
    <xdr:sp>
      <xdr:nvSpPr>
        <xdr:cNvPr id="49" name="Line 49"/>
        <xdr:cNvSpPr>
          <a:spLocks/>
        </xdr:cNvSpPr>
      </xdr:nvSpPr>
      <xdr:spPr>
        <a:xfrm flipH="1">
          <a:off x="9496425" y="33699450"/>
          <a:ext cx="9525" cy="1952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183</xdr:row>
      <xdr:rowOff>28575</xdr:rowOff>
    </xdr:from>
    <xdr:to>
      <xdr:col>8</xdr:col>
      <xdr:colOff>38100</xdr:colOff>
      <xdr:row>204</xdr:row>
      <xdr:rowOff>9525</xdr:rowOff>
    </xdr:to>
    <xdr:sp>
      <xdr:nvSpPr>
        <xdr:cNvPr id="50" name="Line 50"/>
        <xdr:cNvSpPr>
          <a:spLocks/>
        </xdr:cNvSpPr>
      </xdr:nvSpPr>
      <xdr:spPr>
        <a:xfrm flipH="1">
          <a:off x="9296400" y="38585775"/>
          <a:ext cx="0" cy="3590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191</xdr:row>
      <xdr:rowOff>9525</xdr:rowOff>
    </xdr:from>
    <xdr:to>
      <xdr:col>8</xdr:col>
      <xdr:colOff>219075</xdr:colOff>
      <xdr:row>191</xdr:row>
      <xdr:rowOff>9525</xdr:rowOff>
    </xdr:to>
    <xdr:sp>
      <xdr:nvSpPr>
        <xdr:cNvPr id="51" name="Line 51"/>
        <xdr:cNvSpPr>
          <a:spLocks/>
        </xdr:cNvSpPr>
      </xdr:nvSpPr>
      <xdr:spPr>
        <a:xfrm>
          <a:off x="9305925" y="4037647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191</xdr:row>
      <xdr:rowOff>19050</xdr:rowOff>
    </xdr:from>
    <xdr:to>
      <xdr:col>8</xdr:col>
      <xdr:colOff>238125</xdr:colOff>
      <xdr:row>205</xdr:row>
      <xdr:rowOff>9525</xdr:rowOff>
    </xdr:to>
    <xdr:sp>
      <xdr:nvSpPr>
        <xdr:cNvPr id="52" name="Line 52"/>
        <xdr:cNvSpPr>
          <a:spLocks/>
        </xdr:cNvSpPr>
      </xdr:nvSpPr>
      <xdr:spPr>
        <a:xfrm flipH="1">
          <a:off x="9486900" y="40386000"/>
          <a:ext cx="9525" cy="1790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18</xdr:row>
      <xdr:rowOff>9525</xdr:rowOff>
    </xdr:from>
    <xdr:to>
      <xdr:col>8</xdr:col>
      <xdr:colOff>219075</xdr:colOff>
      <xdr:row>27</xdr:row>
      <xdr:rowOff>66675</xdr:rowOff>
    </xdr:to>
    <xdr:sp>
      <xdr:nvSpPr>
        <xdr:cNvPr id="53" name="Line 53"/>
        <xdr:cNvSpPr>
          <a:spLocks/>
        </xdr:cNvSpPr>
      </xdr:nvSpPr>
      <xdr:spPr>
        <a:xfrm>
          <a:off x="9477375" y="3686175"/>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809625</xdr:colOff>
      <xdr:row>27</xdr:row>
      <xdr:rowOff>57150</xdr:rowOff>
    </xdr:from>
    <xdr:to>
      <xdr:col>7</xdr:col>
      <xdr:colOff>228600</xdr:colOff>
      <xdr:row>27</xdr:row>
      <xdr:rowOff>57150</xdr:rowOff>
    </xdr:to>
    <xdr:sp>
      <xdr:nvSpPr>
        <xdr:cNvPr id="54" name="Line 54"/>
        <xdr:cNvSpPr>
          <a:spLocks/>
        </xdr:cNvSpPr>
      </xdr:nvSpPr>
      <xdr:spPr>
        <a:xfrm flipH="1">
          <a:off x="8382000" y="43338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57</xdr:row>
      <xdr:rowOff>152400</xdr:rowOff>
    </xdr:from>
    <xdr:to>
      <xdr:col>8</xdr:col>
      <xdr:colOff>219075</xdr:colOff>
      <xdr:row>58</xdr:row>
      <xdr:rowOff>85725</xdr:rowOff>
    </xdr:to>
    <xdr:sp>
      <xdr:nvSpPr>
        <xdr:cNvPr id="55" name="Line 55"/>
        <xdr:cNvSpPr>
          <a:spLocks/>
        </xdr:cNvSpPr>
      </xdr:nvSpPr>
      <xdr:spPr>
        <a:xfrm rot="10800000" flipV="1">
          <a:off x="9267825" y="9191625"/>
          <a:ext cx="21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72</xdr:row>
      <xdr:rowOff>0</xdr:rowOff>
    </xdr:from>
    <xdr:to>
      <xdr:col>8</xdr:col>
      <xdr:colOff>238125</xdr:colOff>
      <xdr:row>72</xdr:row>
      <xdr:rowOff>66675</xdr:rowOff>
    </xdr:to>
    <xdr:sp>
      <xdr:nvSpPr>
        <xdr:cNvPr id="56" name="Line 56"/>
        <xdr:cNvSpPr>
          <a:spLocks/>
        </xdr:cNvSpPr>
      </xdr:nvSpPr>
      <xdr:spPr>
        <a:xfrm flipH="1">
          <a:off x="9258300" y="1198245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809625</xdr:colOff>
      <xdr:row>105</xdr:row>
      <xdr:rowOff>142875</xdr:rowOff>
    </xdr:from>
    <xdr:to>
      <xdr:col>7</xdr:col>
      <xdr:colOff>238125</xdr:colOff>
      <xdr:row>106</xdr:row>
      <xdr:rowOff>76200</xdr:rowOff>
    </xdr:to>
    <xdr:sp>
      <xdr:nvSpPr>
        <xdr:cNvPr id="57" name="Line 57"/>
        <xdr:cNvSpPr>
          <a:spLocks/>
        </xdr:cNvSpPr>
      </xdr:nvSpPr>
      <xdr:spPr>
        <a:xfrm flipH="1">
          <a:off x="8382000" y="1925002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809625</xdr:colOff>
      <xdr:row>121</xdr:row>
      <xdr:rowOff>95250</xdr:rowOff>
    </xdr:from>
    <xdr:to>
      <xdr:col>7</xdr:col>
      <xdr:colOff>247650</xdr:colOff>
      <xdr:row>121</xdr:row>
      <xdr:rowOff>95250</xdr:rowOff>
    </xdr:to>
    <xdr:sp>
      <xdr:nvSpPr>
        <xdr:cNvPr id="58" name="Line 58"/>
        <xdr:cNvSpPr>
          <a:spLocks/>
        </xdr:cNvSpPr>
      </xdr:nvSpPr>
      <xdr:spPr>
        <a:xfrm flipH="1">
          <a:off x="8382000" y="227361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809625</xdr:colOff>
      <xdr:row>174</xdr:row>
      <xdr:rowOff>133350</xdr:rowOff>
    </xdr:from>
    <xdr:to>
      <xdr:col>7</xdr:col>
      <xdr:colOff>238125</xdr:colOff>
      <xdr:row>175</xdr:row>
      <xdr:rowOff>76200</xdr:rowOff>
    </xdr:to>
    <xdr:sp>
      <xdr:nvSpPr>
        <xdr:cNvPr id="59" name="Line 59"/>
        <xdr:cNvSpPr>
          <a:spLocks/>
        </xdr:cNvSpPr>
      </xdr:nvSpPr>
      <xdr:spPr>
        <a:xfrm flipH="1">
          <a:off x="8382000" y="3565207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809625</xdr:colOff>
      <xdr:row>205</xdr:row>
      <xdr:rowOff>9525</xdr:rowOff>
    </xdr:from>
    <xdr:to>
      <xdr:col>7</xdr:col>
      <xdr:colOff>228600</xdr:colOff>
      <xdr:row>205</xdr:row>
      <xdr:rowOff>85725</xdr:rowOff>
    </xdr:to>
    <xdr:sp>
      <xdr:nvSpPr>
        <xdr:cNvPr id="60" name="Line 60"/>
        <xdr:cNvSpPr>
          <a:spLocks/>
        </xdr:cNvSpPr>
      </xdr:nvSpPr>
      <xdr:spPr>
        <a:xfrm flipH="1">
          <a:off x="8382000" y="4217670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17</xdr:row>
      <xdr:rowOff>0</xdr:rowOff>
    </xdr:from>
    <xdr:to>
      <xdr:col>7</xdr:col>
      <xdr:colOff>0</xdr:colOff>
      <xdr:row>21</xdr:row>
      <xdr:rowOff>0</xdr:rowOff>
    </xdr:to>
    <xdr:sp>
      <xdr:nvSpPr>
        <xdr:cNvPr id="1" name="Line 1"/>
        <xdr:cNvSpPr>
          <a:spLocks/>
        </xdr:cNvSpPr>
      </xdr:nvSpPr>
      <xdr:spPr>
        <a:xfrm>
          <a:off x="8343900" y="3514725"/>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19</xdr:row>
      <xdr:rowOff>0</xdr:rowOff>
    </xdr:from>
    <xdr:to>
      <xdr:col>7</xdr:col>
      <xdr:colOff>466725</xdr:colOff>
      <xdr:row>19</xdr:row>
      <xdr:rowOff>0</xdr:rowOff>
    </xdr:to>
    <xdr:sp>
      <xdr:nvSpPr>
        <xdr:cNvPr id="2" name="Line 2"/>
        <xdr:cNvSpPr>
          <a:spLocks/>
        </xdr:cNvSpPr>
      </xdr:nvSpPr>
      <xdr:spPr>
        <a:xfrm flipV="1">
          <a:off x="8343900" y="383857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17</xdr:row>
      <xdr:rowOff>0</xdr:rowOff>
    </xdr:from>
    <xdr:to>
      <xdr:col>7</xdr:col>
      <xdr:colOff>466725</xdr:colOff>
      <xdr:row>19</xdr:row>
      <xdr:rowOff>0</xdr:rowOff>
    </xdr:to>
    <xdr:sp>
      <xdr:nvSpPr>
        <xdr:cNvPr id="3" name="Line 3"/>
        <xdr:cNvSpPr>
          <a:spLocks/>
        </xdr:cNvSpPr>
      </xdr:nvSpPr>
      <xdr:spPr>
        <a:xfrm flipV="1">
          <a:off x="8810625" y="351472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42</xdr:row>
      <xdr:rowOff>9525</xdr:rowOff>
    </xdr:from>
    <xdr:to>
      <xdr:col>7</xdr:col>
      <xdr:colOff>466725</xdr:colOff>
      <xdr:row>42</xdr:row>
      <xdr:rowOff>9525</xdr:rowOff>
    </xdr:to>
    <xdr:sp>
      <xdr:nvSpPr>
        <xdr:cNvPr id="4" name="Line 4"/>
        <xdr:cNvSpPr>
          <a:spLocks/>
        </xdr:cNvSpPr>
      </xdr:nvSpPr>
      <xdr:spPr>
        <a:xfrm flipV="1">
          <a:off x="8343900" y="752475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47</xdr:row>
      <xdr:rowOff>0</xdr:rowOff>
    </xdr:from>
    <xdr:to>
      <xdr:col>7</xdr:col>
      <xdr:colOff>0</xdr:colOff>
      <xdr:row>51</xdr:row>
      <xdr:rowOff>0</xdr:rowOff>
    </xdr:to>
    <xdr:sp>
      <xdr:nvSpPr>
        <xdr:cNvPr id="5" name="Line 5"/>
        <xdr:cNvSpPr>
          <a:spLocks/>
        </xdr:cNvSpPr>
      </xdr:nvSpPr>
      <xdr:spPr>
        <a:xfrm>
          <a:off x="8343900" y="8172450"/>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41</xdr:row>
      <xdr:rowOff>0</xdr:rowOff>
    </xdr:from>
    <xdr:to>
      <xdr:col>7</xdr:col>
      <xdr:colOff>0</xdr:colOff>
      <xdr:row>43</xdr:row>
      <xdr:rowOff>0</xdr:rowOff>
    </xdr:to>
    <xdr:sp>
      <xdr:nvSpPr>
        <xdr:cNvPr id="6" name="Line 6"/>
        <xdr:cNvSpPr>
          <a:spLocks/>
        </xdr:cNvSpPr>
      </xdr:nvSpPr>
      <xdr:spPr>
        <a:xfrm>
          <a:off x="8343900" y="7353300"/>
          <a:ext cx="0" cy="657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41</xdr:row>
      <xdr:rowOff>0</xdr:rowOff>
    </xdr:from>
    <xdr:to>
      <xdr:col>7</xdr:col>
      <xdr:colOff>466725</xdr:colOff>
      <xdr:row>42</xdr:row>
      <xdr:rowOff>0</xdr:rowOff>
    </xdr:to>
    <xdr:sp>
      <xdr:nvSpPr>
        <xdr:cNvPr id="7" name="Line 7"/>
        <xdr:cNvSpPr>
          <a:spLocks/>
        </xdr:cNvSpPr>
      </xdr:nvSpPr>
      <xdr:spPr>
        <a:xfrm flipV="1">
          <a:off x="8810625" y="73533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49</xdr:row>
      <xdr:rowOff>0</xdr:rowOff>
    </xdr:from>
    <xdr:to>
      <xdr:col>7</xdr:col>
      <xdr:colOff>466725</xdr:colOff>
      <xdr:row>49</xdr:row>
      <xdr:rowOff>0</xdr:rowOff>
    </xdr:to>
    <xdr:sp>
      <xdr:nvSpPr>
        <xdr:cNvPr id="8" name="Line 8"/>
        <xdr:cNvSpPr>
          <a:spLocks/>
        </xdr:cNvSpPr>
      </xdr:nvSpPr>
      <xdr:spPr>
        <a:xfrm flipV="1">
          <a:off x="8343900" y="849630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47</xdr:row>
      <xdr:rowOff>0</xdr:rowOff>
    </xdr:from>
    <xdr:to>
      <xdr:col>7</xdr:col>
      <xdr:colOff>466725</xdr:colOff>
      <xdr:row>49</xdr:row>
      <xdr:rowOff>0</xdr:rowOff>
    </xdr:to>
    <xdr:sp>
      <xdr:nvSpPr>
        <xdr:cNvPr id="9" name="Line 9"/>
        <xdr:cNvSpPr>
          <a:spLocks/>
        </xdr:cNvSpPr>
      </xdr:nvSpPr>
      <xdr:spPr>
        <a:xfrm flipV="1">
          <a:off x="8810625" y="8172450"/>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81</xdr:row>
      <xdr:rowOff>9525</xdr:rowOff>
    </xdr:from>
    <xdr:to>
      <xdr:col>7</xdr:col>
      <xdr:colOff>466725</xdr:colOff>
      <xdr:row>81</xdr:row>
      <xdr:rowOff>9525</xdr:rowOff>
    </xdr:to>
    <xdr:sp>
      <xdr:nvSpPr>
        <xdr:cNvPr id="10" name="Line 10"/>
        <xdr:cNvSpPr>
          <a:spLocks/>
        </xdr:cNvSpPr>
      </xdr:nvSpPr>
      <xdr:spPr>
        <a:xfrm flipV="1">
          <a:off x="8343900" y="1405890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80</xdr:row>
      <xdr:rowOff>0</xdr:rowOff>
    </xdr:from>
    <xdr:to>
      <xdr:col>7</xdr:col>
      <xdr:colOff>0</xdr:colOff>
      <xdr:row>82</xdr:row>
      <xdr:rowOff>0</xdr:rowOff>
    </xdr:to>
    <xdr:sp>
      <xdr:nvSpPr>
        <xdr:cNvPr id="11" name="Line 11"/>
        <xdr:cNvSpPr>
          <a:spLocks/>
        </xdr:cNvSpPr>
      </xdr:nvSpPr>
      <xdr:spPr>
        <a:xfrm>
          <a:off x="8343900" y="13887450"/>
          <a:ext cx="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80</xdr:row>
      <xdr:rowOff>0</xdr:rowOff>
    </xdr:from>
    <xdr:to>
      <xdr:col>7</xdr:col>
      <xdr:colOff>466725</xdr:colOff>
      <xdr:row>81</xdr:row>
      <xdr:rowOff>0</xdr:rowOff>
    </xdr:to>
    <xdr:sp>
      <xdr:nvSpPr>
        <xdr:cNvPr id="12" name="Line 12"/>
        <xdr:cNvSpPr>
          <a:spLocks/>
        </xdr:cNvSpPr>
      </xdr:nvSpPr>
      <xdr:spPr>
        <a:xfrm flipV="1">
          <a:off x="8810625" y="138874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115</xdr:row>
      <xdr:rowOff>9525</xdr:rowOff>
    </xdr:from>
    <xdr:to>
      <xdr:col>7</xdr:col>
      <xdr:colOff>466725</xdr:colOff>
      <xdr:row>115</xdr:row>
      <xdr:rowOff>9525</xdr:rowOff>
    </xdr:to>
    <xdr:sp>
      <xdr:nvSpPr>
        <xdr:cNvPr id="13" name="Line 13"/>
        <xdr:cNvSpPr>
          <a:spLocks/>
        </xdr:cNvSpPr>
      </xdr:nvSpPr>
      <xdr:spPr>
        <a:xfrm flipV="1">
          <a:off x="8343900" y="2171700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114</xdr:row>
      <xdr:rowOff>0</xdr:rowOff>
    </xdr:from>
    <xdr:to>
      <xdr:col>7</xdr:col>
      <xdr:colOff>466725</xdr:colOff>
      <xdr:row>115</xdr:row>
      <xdr:rowOff>0</xdr:rowOff>
    </xdr:to>
    <xdr:sp>
      <xdr:nvSpPr>
        <xdr:cNvPr id="14" name="Line 14"/>
        <xdr:cNvSpPr>
          <a:spLocks/>
        </xdr:cNvSpPr>
      </xdr:nvSpPr>
      <xdr:spPr>
        <a:xfrm flipV="1">
          <a:off x="8810625" y="21374100"/>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114</xdr:row>
      <xdr:rowOff>9525</xdr:rowOff>
    </xdr:from>
    <xdr:to>
      <xdr:col>7</xdr:col>
      <xdr:colOff>0</xdr:colOff>
      <xdr:row>117</xdr:row>
      <xdr:rowOff>0</xdr:rowOff>
    </xdr:to>
    <xdr:sp>
      <xdr:nvSpPr>
        <xdr:cNvPr id="15" name="Line 15"/>
        <xdr:cNvSpPr>
          <a:spLocks/>
        </xdr:cNvSpPr>
      </xdr:nvSpPr>
      <xdr:spPr>
        <a:xfrm>
          <a:off x="8343900" y="21383625"/>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145</xdr:row>
      <xdr:rowOff>0</xdr:rowOff>
    </xdr:from>
    <xdr:to>
      <xdr:col>7</xdr:col>
      <xdr:colOff>466725</xdr:colOff>
      <xdr:row>145</xdr:row>
      <xdr:rowOff>0</xdr:rowOff>
    </xdr:to>
    <xdr:sp>
      <xdr:nvSpPr>
        <xdr:cNvPr id="16" name="Line 16"/>
        <xdr:cNvSpPr>
          <a:spLocks/>
        </xdr:cNvSpPr>
      </xdr:nvSpPr>
      <xdr:spPr>
        <a:xfrm flipV="1">
          <a:off x="8343900" y="3021330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143</xdr:row>
      <xdr:rowOff>0</xdr:rowOff>
    </xdr:from>
    <xdr:to>
      <xdr:col>7</xdr:col>
      <xdr:colOff>466725</xdr:colOff>
      <xdr:row>145</xdr:row>
      <xdr:rowOff>0</xdr:rowOff>
    </xdr:to>
    <xdr:sp>
      <xdr:nvSpPr>
        <xdr:cNvPr id="17" name="Line 17"/>
        <xdr:cNvSpPr>
          <a:spLocks/>
        </xdr:cNvSpPr>
      </xdr:nvSpPr>
      <xdr:spPr>
        <a:xfrm flipV="1">
          <a:off x="8810625" y="29889450"/>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143</xdr:row>
      <xdr:rowOff>0</xdr:rowOff>
    </xdr:from>
    <xdr:to>
      <xdr:col>7</xdr:col>
      <xdr:colOff>0</xdr:colOff>
      <xdr:row>148</xdr:row>
      <xdr:rowOff>0</xdr:rowOff>
    </xdr:to>
    <xdr:sp>
      <xdr:nvSpPr>
        <xdr:cNvPr id="18" name="Line 18"/>
        <xdr:cNvSpPr>
          <a:spLocks/>
        </xdr:cNvSpPr>
      </xdr:nvSpPr>
      <xdr:spPr>
        <a:xfrm>
          <a:off x="8343900" y="29889450"/>
          <a:ext cx="0"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160</xdr:row>
      <xdr:rowOff>0</xdr:rowOff>
    </xdr:from>
    <xdr:to>
      <xdr:col>7</xdr:col>
      <xdr:colOff>466725</xdr:colOff>
      <xdr:row>160</xdr:row>
      <xdr:rowOff>0</xdr:rowOff>
    </xdr:to>
    <xdr:sp>
      <xdr:nvSpPr>
        <xdr:cNvPr id="19" name="Line 19"/>
        <xdr:cNvSpPr>
          <a:spLocks/>
        </xdr:cNvSpPr>
      </xdr:nvSpPr>
      <xdr:spPr>
        <a:xfrm flipV="1">
          <a:off x="8343900" y="3330892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158</xdr:row>
      <xdr:rowOff>0</xdr:rowOff>
    </xdr:from>
    <xdr:to>
      <xdr:col>7</xdr:col>
      <xdr:colOff>466725</xdr:colOff>
      <xdr:row>160</xdr:row>
      <xdr:rowOff>0</xdr:rowOff>
    </xdr:to>
    <xdr:sp>
      <xdr:nvSpPr>
        <xdr:cNvPr id="20" name="Line 20"/>
        <xdr:cNvSpPr>
          <a:spLocks/>
        </xdr:cNvSpPr>
      </xdr:nvSpPr>
      <xdr:spPr>
        <a:xfrm flipV="1">
          <a:off x="8810625" y="329850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158</xdr:row>
      <xdr:rowOff>0</xdr:rowOff>
    </xdr:from>
    <xdr:to>
      <xdr:col>7</xdr:col>
      <xdr:colOff>0</xdr:colOff>
      <xdr:row>162</xdr:row>
      <xdr:rowOff>0</xdr:rowOff>
    </xdr:to>
    <xdr:sp>
      <xdr:nvSpPr>
        <xdr:cNvPr id="21" name="Line 21"/>
        <xdr:cNvSpPr>
          <a:spLocks/>
        </xdr:cNvSpPr>
      </xdr:nvSpPr>
      <xdr:spPr>
        <a:xfrm>
          <a:off x="8343900" y="32985075"/>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191</xdr:row>
      <xdr:rowOff>0</xdr:rowOff>
    </xdr:from>
    <xdr:to>
      <xdr:col>7</xdr:col>
      <xdr:colOff>466725</xdr:colOff>
      <xdr:row>191</xdr:row>
      <xdr:rowOff>0</xdr:rowOff>
    </xdr:to>
    <xdr:sp>
      <xdr:nvSpPr>
        <xdr:cNvPr id="22" name="Line 22"/>
        <xdr:cNvSpPr>
          <a:spLocks/>
        </xdr:cNvSpPr>
      </xdr:nvSpPr>
      <xdr:spPr>
        <a:xfrm flipV="1">
          <a:off x="8343900" y="3972877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189</xdr:row>
      <xdr:rowOff>0</xdr:rowOff>
    </xdr:from>
    <xdr:to>
      <xdr:col>7</xdr:col>
      <xdr:colOff>466725</xdr:colOff>
      <xdr:row>191</xdr:row>
      <xdr:rowOff>0</xdr:rowOff>
    </xdr:to>
    <xdr:sp>
      <xdr:nvSpPr>
        <xdr:cNvPr id="23" name="Line 23"/>
        <xdr:cNvSpPr>
          <a:spLocks/>
        </xdr:cNvSpPr>
      </xdr:nvSpPr>
      <xdr:spPr>
        <a:xfrm flipV="1">
          <a:off x="8810625" y="3940492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189</xdr:row>
      <xdr:rowOff>0</xdr:rowOff>
    </xdr:from>
    <xdr:to>
      <xdr:col>7</xdr:col>
      <xdr:colOff>0</xdr:colOff>
      <xdr:row>193</xdr:row>
      <xdr:rowOff>0</xdr:rowOff>
    </xdr:to>
    <xdr:sp>
      <xdr:nvSpPr>
        <xdr:cNvPr id="24" name="Line 24"/>
        <xdr:cNvSpPr>
          <a:spLocks/>
        </xdr:cNvSpPr>
      </xdr:nvSpPr>
      <xdr:spPr>
        <a:xfrm>
          <a:off x="8343900" y="39404925"/>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14</xdr:row>
      <xdr:rowOff>0</xdr:rowOff>
    </xdr:from>
    <xdr:to>
      <xdr:col>8</xdr:col>
      <xdr:colOff>38100</xdr:colOff>
      <xdr:row>28</xdr:row>
      <xdr:rowOff>66675</xdr:rowOff>
    </xdr:to>
    <xdr:sp>
      <xdr:nvSpPr>
        <xdr:cNvPr id="25" name="Line 25"/>
        <xdr:cNvSpPr>
          <a:spLocks/>
        </xdr:cNvSpPr>
      </xdr:nvSpPr>
      <xdr:spPr>
        <a:xfrm>
          <a:off x="9220200" y="2686050"/>
          <a:ext cx="0" cy="1971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20</xdr:row>
      <xdr:rowOff>0</xdr:rowOff>
    </xdr:from>
    <xdr:to>
      <xdr:col>8</xdr:col>
      <xdr:colOff>219075</xdr:colOff>
      <xdr:row>20</xdr:row>
      <xdr:rowOff>0</xdr:rowOff>
    </xdr:to>
    <xdr:sp>
      <xdr:nvSpPr>
        <xdr:cNvPr id="26" name="Line 26"/>
        <xdr:cNvSpPr>
          <a:spLocks/>
        </xdr:cNvSpPr>
      </xdr:nvSpPr>
      <xdr:spPr>
        <a:xfrm>
          <a:off x="9220200" y="400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37</xdr:row>
      <xdr:rowOff>0</xdr:rowOff>
    </xdr:from>
    <xdr:to>
      <xdr:col>8</xdr:col>
      <xdr:colOff>38100</xdr:colOff>
      <xdr:row>58</xdr:row>
      <xdr:rowOff>0</xdr:rowOff>
    </xdr:to>
    <xdr:sp>
      <xdr:nvSpPr>
        <xdr:cNvPr id="27" name="Line 27"/>
        <xdr:cNvSpPr>
          <a:spLocks/>
        </xdr:cNvSpPr>
      </xdr:nvSpPr>
      <xdr:spPr>
        <a:xfrm flipH="1">
          <a:off x="9220200" y="6534150"/>
          <a:ext cx="0" cy="2781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43</xdr:row>
      <xdr:rowOff>0</xdr:rowOff>
    </xdr:from>
    <xdr:to>
      <xdr:col>8</xdr:col>
      <xdr:colOff>219075</xdr:colOff>
      <xdr:row>43</xdr:row>
      <xdr:rowOff>0</xdr:rowOff>
    </xdr:to>
    <xdr:sp>
      <xdr:nvSpPr>
        <xdr:cNvPr id="28" name="Line 28"/>
        <xdr:cNvSpPr>
          <a:spLocks/>
        </xdr:cNvSpPr>
      </xdr:nvSpPr>
      <xdr:spPr>
        <a:xfrm>
          <a:off x="9220200" y="801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43</xdr:row>
      <xdr:rowOff>9525</xdr:rowOff>
    </xdr:from>
    <xdr:to>
      <xdr:col>8</xdr:col>
      <xdr:colOff>219075</xdr:colOff>
      <xdr:row>58</xdr:row>
      <xdr:rowOff>152400</xdr:rowOff>
    </xdr:to>
    <xdr:sp>
      <xdr:nvSpPr>
        <xdr:cNvPr id="29" name="Line 29"/>
        <xdr:cNvSpPr>
          <a:spLocks/>
        </xdr:cNvSpPr>
      </xdr:nvSpPr>
      <xdr:spPr>
        <a:xfrm>
          <a:off x="9220200" y="8010525"/>
          <a:ext cx="0" cy="1304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65</xdr:row>
      <xdr:rowOff>19050</xdr:rowOff>
    </xdr:from>
    <xdr:to>
      <xdr:col>8</xdr:col>
      <xdr:colOff>47625</xdr:colOff>
      <xdr:row>71</xdr:row>
      <xdr:rowOff>0</xdr:rowOff>
    </xdr:to>
    <xdr:sp>
      <xdr:nvSpPr>
        <xdr:cNvPr id="30" name="Line 30"/>
        <xdr:cNvSpPr>
          <a:spLocks/>
        </xdr:cNvSpPr>
      </xdr:nvSpPr>
      <xdr:spPr>
        <a:xfrm>
          <a:off x="9220200" y="10477500"/>
          <a:ext cx="0" cy="1466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67</xdr:row>
      <xdr:rowOff>0</xdr:rowOff>
    </xdr:from>
    <xdr:to>
      <xdr:col>8</xdr:col>
      <xdr:colOff>219075</xdr:colOff>
      <xdr:row>67</xdr:row>
      <xdr:rowOff>0</xdr:rowOff>
    </xdr:to>
    <xdr:sp>
      <xdr:nvSpPr>
        <xdr:cNvPr id="31" name="Line 31"/>
        <xdr:cNvSpPr>
          <a:spLocks/>
        </xdr:cNvSpPr>
      </xdr:nvSpPr>
      <xdr:spPr>
        <a:xfrm>
          <a:off x="9220200" y="1095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67</xdr:row>
      <xdr:rowOff>0</xdr:rowOff>
    </xdr:from>
    <xdr:to>
      <xdr:col>8</xdr:col>
      <xdr:colOff>238125</xdr:colOff>
      <xdr:row>71</xdr:row>
      <xdr:rowOff>152400</xdr:rowOff>
    </xdr:to>
    <xdr:sp>
      <xdr:nvSpPr>
        <xdr:cNvPr id="32" name="Line 32"/>
        <xdr:cNvSpPr>
          <a:spLocks/>
        </xdr:cNvSpPr>
      </xdr:nvSpPr>
      <xdr:spPr>
        <a:xfrm>
          <a:off x="9220200" y="10953750"/>
          <a:ext cx="0" cy="990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76</xdr:row>
      <xdr:rowOff>628650</xdr:rowOff>
    </xdr:from>
    <xdr:to>
      <xdr:col>8</xdr:col>
      <xdr:colOff>38100</xdr:colOff>
      <xdr:row>89</xdr:row>
      <xdr:rowOff>0</xdr:rowOff>
    </xdr:to>
    <xdr:sp>
      <xdr:nvSpPr>
        <xdr:cNvPr id="33" name="Line 34"/>
        <xdr:cNvSpPr>
          <a:spLocks/>
        </xdr:cNvSpPr>
      </xdr:nvSpPr>
      <xdr:spPr>
        <a:xfrm>
          <a:off x="9220200" y="13058775"/>
          <a:ext cx="0" cy="2647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81</xdr:row>
      <xdr:rowOff>95250</xdr:rowOff>
    </xdr:from>
    <xdr:to>
      <xdr:col>8</xdr:col>
      <xdr:colOff>219075</xdr:colOff>
      <xdr:row>81</xdr:row>
      <xdr:rowOff>95250</xdr:rowOff>
    </xdr:to>
    <xdr:sp>
      <xdr:nvSpPr>
        <xdr:cNvPr id="34" name="Line 35"/>
        <xdr:cNvSpPr>
          <a:spLocks/>
        </xdr:cNvSpPr>
      </xdr:nvSpPr>
      <xdr:spPr>
        <a:xfrm>
          <a:off x="9220200" y="14144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81</xdr:row>
      <xdr:rowOff>95250</xdr:rowOff>
    </xdr:from>
    <xdr:to>
      <xdr:col>8</xdr:col>
      <xdr:colOff>228600</xdr:colOff>
      <xdr:row>88</xdr:row>
      <xdr:rowOff>133350</xdr:rowOff>
    </xdr:to>
    <xdr:sp>
      <xdr:nvSpPr>
        <xdr:cNvPr id="35" name="Line 36"/>
        <xdr:cNvSpPr>
          <a:spLocks/>
        </xdr:cNvSpPr>
      </xdr:nvSpPr>
      <xdr:spPr>
        <a:xfrm>
          <a:off x="9220200" y="14144625"/>
          <a:ext cx="0" cy="1533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96</xdr:row>
      <xdr:rowOff>95250</xdr:rowOff>
    </xdr:from>
    <xdr:to>
      <xdr:col>8</xdr:col>
      <xdr:colOff>47625</xdr:colOff>
      <xdr:row>103</xdr:row>
      <xdr:rowOff>0</xdr:rowOff>
    </xdr:to>
    <xdr:sp>
      <xdr:nvSpPr>
        <xdr:cNvPr id="36" name="Line 37"/>
        <xdr:cNvSpPr>
          <a:spLocks/>
        </xdr:cNvSpPr>
      </xdr:nvSpPr>
      <xdr:spPr>
        <a:xfrm flipH="1">
          <a:off x="9220200" y="16783050"/>
          <a:ext cx="0" cy="2066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99</xdr:row>
      <xdr:rowOff>0</xdr:rowOff>
    </xdr:from>
    <xdr:to>
      <xdr:col>8</xdr:col>
      <xdr:colOff>219075</xdr:colOff>
      <xdr:row>99</xdr:row>
      <xdr:rowOff>0</xdr:rowOff>
    </xdr:to>
    <xdr:sp>
      <xdr:nvSpPr>
        <xdr:cNvPr id="37" name="Line 38"/>
        <xdr:cNvSpPr>
          <a:spLocks/>
        </xdr:cNvSpPr>
      </xdr:nvSpPr>
      <xdr:spPr>
        <a:xfrm>
          <a:off x="9220200" y="17687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98</xdr:row>
      <xdr:rowOff>323850</xdr:rowOff>
    </xdr:from>
    <xdr:to>
      <xdr:col>8</xdr:col>
      <xdr:colOff>238125</xdr:colOff>
      <xdr:row>103</xdr:row>
      <xdr:rowOff>133350</xdr:rowOff>
    </xdr:to>
    <xdr:sp>
      <xdr:nvSpPr>
        <xdr:cNvPr id="38" name="Line 39"/>
        <xdr:cNvSpPr>
          <a:spLocks/>
        </xdr:cNvSpPr>
      </xdr:nvSpPr>
      <xdr:spPr>
        <a:xfrm>
          <a:off x="9220200" y="17678400"/>
          <a:ext cx="0" cy="1171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110</xdr:row>
      <xdr:rowOff>504825</xdr:rowOff>
    </xdr:from>
    <xdr:to>
      <xdr:col>8</xdr:col>
      <xdr:colOff>47625</xdr:colOff>
      <xdr:row>117</xdr:row>
      <xdr:rowOff>0</xdr:rowOff>
    </xdr:to>
    <xdr:sp>
      <xdr:nvSpPr>
        <xdr:cNvPr id="39" name="Line 40"/>
        <xdr:cNvSpPr>
          <a:spLocks/>
        </xdr:cNvSpPr>
      </xdr:nvSpPr>
      <xdr:spPr>
        <a:xfrm flipH="1">
          <a:off x="9220200" y="20269200"/>
          <a:ext cx="0" cy="1762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112</xdr:row>
      <xdr:rowOff>0</xdr:rowOff>
    </xdr:from>
    <xdr:to>
      <xdr:col>8</xdr:col>
      <xdr:colOff>219075</xdr:colOff>
      <xdr:row>112</xdr:row>
      <xdr:rowOff>0</xdr:rowOff>
    </xdr:to>
    <xdr:sp>
      <xdr:nvSpPr>
        <xdr:cNvPr id="40" name="Line 41"/>
        <xdr:cNvSpPr>
          <a:spLocks/>
        </xdr:cNvSpPr>
      </xdr:nvSpPr>
      <xdr:spPr>
        <a:xfrm>
          <a:off x="9220200" y="2104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247650</xdr:colOff>
      <xdr:row>113</xdr:row>
      <xdr:rowOff>9525</xdr:rowOff>
    </xdr:from>
    <xdr:to>
      <xdr:col>8</xdr:col>
      <xdr:colOff>247650</xdr:colOff>
      <xdr:row>118</xdr:row>
      <xdr:rowOff>104775</xdr:rowOff>
    </xdr:to>
    <xdr:sp>
      <xdr:nvSpPr>
        <xdr:cNvPr id="41" name="Line 42"/>
        <xdr:cNvSpPr>
          <a:spLocks/>
        </xdr:cNvSpPr>
      </xdr:nvSpPr>
      <xdr:spPr>
        <a:xfrm>
          <a:off x="9220200" y="21374100"/>
          <a:ext cx="0" cy="657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124</xdr:row>
      <xdr:rowOff>1000125</xdr:rowOff>
    </xdr:from>
    <xdr:to>
      <xdr:col>8</xdr:col>
      <xdr:colOff>47625</xdr:colOff>
      <xdr:row>131</xdr:row>
      <xdr:rowOff>0</xdr:rowOff>
    </xdr:to>
    <xdr:sp>
      <xdr:nvSpPr>
        <xdr:cNvPr id="42" name="Line 43"/>
        <xdr:cNvSpPr>
          <a:spLocks/>
        </xdr:cNvSpPr>
      </xdr:nvSpPr>
      <xdr:spPr>
        <a:xfrm flipH="1">
          <a:off x="9220200" y="23945850"/>
          <a:ext cx="0" cy="1762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125</xdr:row>
      <xdr:rowOff>0</xdr:rowOff>
    </xdr:from>
    <xdr:to>
      <xdr:col>8</xdr:col>
      <xdr:colOff>219075</xdr:colOff>
      <xdr:row>125</xdr:row>
      <xdr:rowOff>0</xdr:rowOff>
    </xdr:to>
    <xdr:sp>
      <xdr:nvSpPr>
        <xdr:cNvPr id="43" name="Line 44"/>
        <xdr:cNvSpPr>
          <a:spLocks/>
        </xdr:cNvSpPr>
      </xdr:nvSpPr>
      <xdr:spPr>
        <a:xfrm>
          <a:off x="9220200" y="24564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124</xdr:row>
      <xdr:rowOff>323850</xdr:rowOff>
    </xdr:from>
    <xdr:to>
      <xdr:col>8</xdr:col>
      <xdr:colOff>238125</xdr:colOff>
      <xdr:row>125</xdr:row>
      <xdr:rowOff>0</xdr:rowOff>
    </xdr:to>
    <xdr:sp>
      <xdr:nvSpPr>
        <xdr:cNvPr id="44" name="Line 45"/>
        <xdr:cNvSpPr>
          <a:spLocks/>
        </xdr:cNvSpPr>
      </xdr:nvSpPr>
      <xdr:spPr>
        <a:xfrm>
          <a:off x="9220200" y="23269575"/>
          <a:ext cx="0" cy="1295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124</xdr:row>
      <xdr:rowOff>142875</xdr:rowOff>
    </xdr:from>
    <xdr:to>
      <xdr:col>8</xdr:col>
      <xdr:colOff>247650</xdr:colOff>
      <xdr:row>124</xdr:row>
      <xdr:rowOff>314325</xdr:rowOff>
    </xdr:to>
    <xdr:sp>
      <xdr:nvSpPr>
        <xdr:cNvPr id="45" name="Line 46"/>
        <xdr:cNvSpPr>
          <a:spLocks/>
        </xdr:cNvSpPr>
      </xdr:nvSpPr>
      <xdr:spPr>
        <a:xfrm flipH="1" flipV="1">
          <a:off x="9220200" y="230886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141</xdr:row>
      <xdr:rowOff>0</xdr:rowOff>
    </xdr:from>
    <xdr:to>
      <xdr:col>8</xdr:col>
      <xdr:colOff>47625</xdr:colOff>
      <xdr:row>169</xdr:row>
      <xdr:rowOff>0</xdr:rowOff>
    </xdr:to>
    <xdr:sp>
      <xdr:nvSpPr>
        <xdr:cNvPr id="46" name="Line 47"/>
        <xdr:cNvSpPr>
          <a:spLocks/>
        </xdr:cNvSpPr>
      </xdr:nvSpPr>
      <xdr:spPr>
        <a:xfrm flipH="1">
          <a:off x="9220200" y="29222700"/>
          <a:ext cx="0" cy="4905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154</xdr:row>
      <xdr:rowOff>152400</xdr:rowOff>
    </xdr:from>
    <xdr:to>
      <xdr:col>8</xdr:col>
      <xdr:colOff>219075</xdr:colOff>
      <xdr:row>154</xdr:row>
      <xdr:rowOff>152400</xdr:rowOff>
    </xdr:to>
    <xdr:sp>
      <xdr:nvSpPr>
        <xdr:cNvPr id="47" name="Line 48"/>
        <xdr:cNvSpPr>
          <a:spLocks/>
        </xdr:cNvSpPr>
      </xdr:nvSpPr>
      <xdr:spPr>
        <a:xfrm>
          <a:off x="9220200" y="32156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155</xdr:row>
      <xdr:rowOff>9525</xdr:rowOff>
    </xdr:from>
    <xdr:to>
      <xdr:col>8</xdr:col>
      <xdr:colOff>247650</xdr:colOff>
      <xdr:row>170</xdr:row>
      <xdr:rowOff>0</xdr:rowOff>
    </xdr:to>
    <xdr:sp>
      <xdr:nvSpPr>
        <xdr:cNvPr id="48" name="Line 49"/>
        <xdr:cNvSpPr>
          <a:spLocks/>
        </xdr:cNvSpPr>
      </xdr:nvSpPr>
      <xdr:spPr>
        <a:xfrm flipH="1">
          <a:off x="9220200" y="32175450"/>
          <a:ext cx="0" cy="1952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178</xdr:row>
      <xdr:rowOff>28575</xdr:rowOff>
    </xdr:from>
    <xdr:to>
      <xdr:col>8</xdr:col>
      <xdr:colOff>38100</xdr:colOff>
      <xdr:row>199</xdr:row>
      <xdr:rowOff>9525</xdr:rowOff>
    </xdr:to>
    <xdr:sp>
      <xdr:nvSpPr>
        <xdr:cNvPr id="49" name="Line 50"/>
        <xdr:cNvSpPr>
          <a:spLocks/>
        </xdr:cNvSpPr>
      </xdr:nvSpPr>
      <xdr:spPr>
        <a:xfrm flipH="1">
          <a:off x="9220200" y="36795075"/>
          <a:ext cx="0" cy="3590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186</xdr:row>
      <xdr:rowOff>9525</xdr:rowOff>
    </xdr:from>
    <xdr:to>
      <xdr:col>8</xdr:col>
      <xdr:colOff>219075</xdr:colOff>
      <xdr:row>186</xdr:row>
      <xdr:rowOff>9525</xdr:rowOff>
    </xdr:to>
    <xdr:sp>
      <xdr:nvSpPr>
        <xdr:cNvPr id="50" name="Line 51"/>
        <xdr:cNvSpPr>
          <a:spLocks/>
        </xdr:cNvSpPr>
      </xdr:nvSpPr>
      <xdr:spPr>
        <a:xfrm>
          <a:off x="9220200" y="3858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186</xdr:row>
      <xdr:rowOff>19050</xdr:rowOff>
    </xdr:from>
    <xdr:to>
      <xdr:col>8</xdr:col>
      <xdr:colOff>238125</xdr:colOff>
      <xdr:row>200</xdr:row>
      <xdr:rowOff>9525</xdr:rowOff>
    </xdr:to>
    <xdr:sp>
      <xdr:nvSpPr>
        <xdr:cNvPr id="51" name="Line 52"/>
        <xdr:cNvSpPr>
          <a:spLocks/>
        </xdr:cNvSpPr>
      </xdr:nvSpPr>
      <xdr:spPr>
        <a:xfrm flipH="1">
          <a:off x="9220200" y="38595300"/>
          <a:ext cx="0" cy="1790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20</xdr:row>
      <xdr:rowOff>9525</xdr:rowOff>
    </xdr:from>
    <xdr:to>
      <xdr:col>8</xdr:col>
      <xdr:colOff>219075</xdr:colOff>
      <xdr:row>29</xdr:row>
      <xdr:rowOff>66675</xdr:rowOff>
    </xdr:to>
    <xdr:sp>
      <xdr:nvSpPr>
        <xdr:cNvPr id="52" name="Line 53"/>
        <xdr:cNvSpPr>
          <a:spLocks/>
        </xdr:cNvSpPr>
      </xdr:nvSpPr>
      <xdr:spPr>
        <a:xfrm>
          <a:off x="9220200" y="4010025"/>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809625</xdr:colOff>
      <xdr:row>29</xdr:row>
      <xdr:rowOff>57150</xdr:rowOff>
    </xdr:from>
    <xdr:to>
      <xdr:col>7</xdr:col>
      <xdr:colOff>228600</xdr:colOff>
      <xdr:row>29</xdr:row>
      <xdr:rowOff>57150</xdr:rowOff>
    </xdr:to>
    <xdr:sp>
      <xdr:nvSpPr>
        <xdr:cNvPr id="53" name="Line 54"/>
        <xdr:cNvSpPr>
          <a:spLocks/>
        </xdr:cNvSpPr>
      </xdr:nvSpPr>
      <xdr:spPr>
        <a:xfrm flipH="1">
          <a:off x="8343900" y="46577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58</xdr:row>
      <xdr:rowOff>152400</xdr:rowOff>
    </xdr:from>
    <xdr:to>
      <xdr:col>8</xdr:col>
      <xdr:colOff>219075</xdr:colOff>
      <xdr:row>59</xdr:row>
      <xdr:rowOff>85725</xdr:rowOff>
    </xdr:to>
    <xdr:sp>
      <xdr:nvSpPr>
        <xdr:cNvPr id="54" name="Line 55"/>
        <xdr:cNvSpPr>
          <a:spLocks/>
        </xdr:cNvSpPr>
      </xdr:nvSpPr>
      <xdr:spPr>
        <a:xfrm rot="10800000" flipV="1">
          <a:off x="9220200" y="93154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72</xdr:row>
      <xdr:rowOff>0</xdr:rowOff>
    </xdr:from>
    <xdr:to>
      <xdr:col>8</xdr:col>
      <xdr:colOff>238125</xdr:colOff>
      <xdr:row>72</xdr:row>
      <xdr:rowOff>66675</xdr:rowOff>
    </xdr:to>
    <xdr:sp>
      <xdr:nvSpPr>
        <xdr:cNvPr id="55" name="Line 56"/>
        <xdr:cNvSpPr>
          <a:spLocks/>
        </xdr:cNvSpPr>
      </xdr:nvSpPr>
      <xdr:spPr>
        <a:xfrm flipH="1">
          <a:off x="9220200" y="11944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809625</xdr:colOff>
      <xdr:row>103</xdr:row>
      <xdr:rowOff>142875</xdr:rowOff>
    </xdr:from>
    <xdr:to>
      <xdr:col>7</xdr:col>
      <xdr:colOff>238125</xdr:colOff>
      <xdr:row>104</xdr:row>
      <xdr:rowOff>76200</xdr:rowOff>
    </xdr:to>
    <xdr:sp>
      <xdr:nvSpPr>
        <xdr:cNvPr id="56" name="Line 57"/>
        <xdr:cNvSpPr>
          <a:spLocks/>
        </xdr:cNvSpPr>
      </xdr:nvSpPr>
      <xdr:spPr>
        <a:xfrm flipH="1">
          <a:off x="8343900" y="1884997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809625</xdr:colOff>
      <xdr:row>118</xdr:row>
      <xdr:rowOff>95250</xdr:rowOff>
    </xdr:from>
    <xdr:to>
      <xdr:col>7</xdr:col>
      <xdr:colOff>247650</xdr:colOff>
      <xdr:row>118</xdr:row>
      <xdr:rowOff>95250</xdr:rowOff>
    </xdr:to>
    <xdr:sp>
      <xdr:nvSpPr>
        <xdr:cNvPr id="57" name="Line 58"/>
        <xdr:cNvSpPr>
          <a:spLocks/>
        </xdr:cNvSpPr>
      </xdr:nvSpPr>
      <xdr:spPr>
        <a:xfrm flipH="1">
          <a:off x="8343900" y="22031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809625</xdr:colOff>
      <xdr:row>169</xdr:row>
      <xdr:rowOff>133350</xdr:rowOff>
    </xdr:from>
    <xdr:to>
      <xdr:col>7</xdr:col>
      <xdr:colOff>238125</xdr:colOff>
      <xdr:row>170</xdr:row>
      <xdr:rowOff>76200</xdr:rowOff>
    </xdr:to>
    <xdr:sp>
      <xdr:nvSpPr>
        <xdr:cNvPr id="58" name="Line 59"/>
        <xdr:cNvSpPr>
          <a:spLocks/>
        </xdr:cNvSpPr>
      </xdr:nvSpPr>
      <xdr:spPr>
        <a:xfrm flipH="1">
          <a:off x="8343900" y="3412807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809625</xdr:colOff>
      <xdr:row>200</xdr:row>
      <xdr:rowOff>9525</xdr:rowOff>
    </xdr:from>
    <xdr:to>
      <xdr:col>7</xdr:col>
      <xdr:colOff>228600</xdr:colOff>
      <xdr:row>200</xdr:row>
      <xdr:rowOff>85725</xdr:rowOff>
    </xdr:to>
    <xdr:sp>
      <xdr:nvSpPr>
        <xdr:cNvPr id="59" name="Line 60"/>
        <xdr:cNvSpPr>
          <a:spLocks/>
        </xdr:cNvSpPr>
      </xdr:nvSpPr>
      <xdr:spPr>
        <a:xfrm flipH="1">
          <a:off x="8343900" y="4038600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211"/>
  <sheetViews>
    <sheetView tabSelected="1" view="pageBreakPreview" zoomScale="75" zoomScaleSheetLayoutView="75" zoomScalePageLayoutView="0" workbookViewId="0" topLeftCell="A1">
      <selection activeCell="G18" sqref="G18"/>
    </sheetView>
  </sheetViews>
  <sheetFormatPr defaultColWidth="5.28125" defaultRowHeight="12.75"/>
  <cols>
    <col min="1" max="1" width="10.28125" style="3" customWidth="1"/>
    <col min="2" max="2" width="3.140625" style="3" customWidth="1"/>
    <col min="3" max="3" width="64.140625" style="5" customWidth="1"/>
    <col min="4" max="4" width="17.00390625" style="55" customWidth="1"/>
    <col min="5" max="6" width="9.28125" style="3" customWidth="1"/>
    <col min="7" max="7" width="12.140625" style="55" customWidth="1"/>
    <col min="8" max="8" width="13.140625" style="55" customWidth="1"/>
    <col min="9" max="9" width="6.00390625" style="3" customWidth="1"/>
    <col min="10" max="10" width="9.28125" style="3" customWidth="1"/>
    <col min="11" max="12" width="6.421875" style="55" customWidth="1"/>
    <col min="13" max="13" width="6.00390625" style="55" customWidth="1"/>
    <col min="14" max="14" width="5.421875" style="55" customWidth="1"/>
    <col min="15" max="15" width="6.140625" style="55" customWidth="1"/>
    <col min="16" max="16" width="11.8515625" style="3" customWidth="1"/>
    <col min="17" max="17" width="11.00390625" style="3" customWidth="1"/>
    <col min="18" max="16384" width="5.28125" style="3" customWidth="1"/>
  </cols>
  <sheetData>
    <row r="1" spans="1:8" s="100" customFormat="1" ht="24">
      <c r="A1" s="1" t="s">
        <v>149</v>
      </c>
      <c r="B1" s="98"/>
      <c r="C1" s="99"/>
      <c r="D1" s="98"/>
      <c r="G1" s="98"/>
      <c r="H1" s="98"/>
    </row>
    <row r="2" ht="12.75">
      <c r="C2" s="3"/>
    </row>
    <row r="3" spans="1:3" ht="12.75">
      <c r="A3" s="3" t="s">
        <v>150</v>
      </c>
      <c r="C3" s="3"/>
    </row>
    <row r="5" spans="8:18" ht="12.75">
      <c r="H5" s="324"/>
      <c r="I5" s="322"/>
      <c r="J5" s="322"/>
      <c r="K5" s="324"/>
      <c r="L5" s="324"/>
      <c r="M5" s="324"/>
      <c r="N5" s="324"/>
      <c r="O5" s="324"/>
      <c r="P5" s="322"/>
      <c r="Q5" s="322"/>
      <c r="R5" s="325"/>
    </row>
    <row r="6" spans="1:18" ht="21">
      <c r="A6" s="166" t="s">
        <v>346</v>
      </c>
      <c r="B6" s="161"/>
      <c r="C6" s="166" t="s">
        <v>212</v>
      </c>
      <c r="D6" s="163"/>
      <c r="E6" s="161"/>
      <c r="F6" s="161"/>
      <c r="G6" s="301"/>
      <c r="H6" s="323"/>
      <c r="I6" s="322"/>
      <c r="J6" s="322"/>
      <c r="K6" s="324"/>
      <c r="L6" s="324"/>
      <c r="M6" s="324"/>
      <c r="N6" s="324"/>
      <c r="O6" s="324"/>
      <c r="P6" s="322"/>
      <c r="Q6" s="322"/>
      <c r="R6" s="325"/>
    </row>
    <row r="7" spans="7:18" ht="12.75">
      <c r="G7" s="160"/>
      <c r="H7" s="326"/>
      <c r="I7" s="322"/>
      <c r="J7" s="322"/>
      <c r="K7" s="324"/>
      <c r="L7" s="324"/>
      <c r="M7" s="324"/>
      <c r="N7" s="324"/>
      <c r="O7" s="324"/>
      <c r="P7" s="322"/>
      <c r="Q7" s="322"/>
      <c r="R7" s="325"/>
    </row>
    <row r="8" spans="1:18" ht="12.75">
      <c r="A8" s="422" t="s">
        <v>533</v>
      </c>
      <c r="B8" s="422"/>
      <c r="C8" s="422"/>
      <c r="D8" s="170" t="s">
        <v>184</v>
      </c>
      <c r="G8" s="160"/>
      <c r="H8" s="327"/>
      <c r="I8" s="328"/>
      <c r="J8" s="328"/>
      <c r="K8" s="324"/>
      <c r="L8" s="324"/>
      <c r="M8" s="324"/>
      <c r="N8" s="324"/>
      <c r="O8" s="324"/>
      <c r="P8" s="322"/>
      <c r="Q8" s="322"/>
      <c r="R8" s="325"/>
    </row>
    <row r="9" spans="3:18" ht="26.25">
      <c r="C9" s="59" t="s">
        <v>378</v>
      </c>
      <c r="D9" s="55">
        <v>10</v>
      </c>
      <c r="G9" s="160"/>
      <c r="H9" s="327"/>
      <c r="I9" s="322"/>
      <c r="J9" s="322"/>
      <c r="K9" s="329"/>
      <c r="L9" s="324"/>
      <c r="M9" s="324"/>
      <c r="N9" s="324"/>
      <c r="O9" s="324"/>
      <c r="P9" s="322"/>
      <c r="Q9" s="322"/>
      <c r="R9" s="325"/>
    </row>
    <row r="10" spans="4:18" ht="12.75">
      <c r="D10" s="170"/>
      <c r="G10" s="160"/>
      <c r="H10" s="327"/>
      <c r="I10" s="322"/>
      <c r="J10" s="322"/>
      <c r="K10" s="324"/>
      <c r="L10" s="324"/>
      <c r="M10" s="324"/>
      <c r="N10" s="324"/>
      <c r="O10" s="324"/>
      <c r="P10" s="322"/>
      <c r="Q10" s="322"/>
      <c r="R10" s="325"/>
    </row>
    <row r="11" spans="1:18" ht="12.75">
      <c r="A11" s="165" t="s">
        <v>352</v>
      </c>
      <c r="D11" s="170" t="s">
        <v>185</v>
      </c>
      <c r="E11" s="48" t="s">
        <v>225</v>
      </c>
      <c r="G11" s="237" t="s">
        <v>226</v>
      </c>
      <c r="H11" s="330" t="s">
        <v>186</v>
      </c>
      <c r="I11" s="322"/>
      <c r="J11" s="322"/>
      <c r="K11" s="324"/>
      <c r="L11" s="324"/>
      <c r="M11" s="324"/>
      <c r="N11" s="324"/>
      <c r="O11" s="324"/>
      <c r="P11" s="322"/>
      <c r="Q11" s="322"/>
      <c r="R11" s="325"/>
    </row>
    <row r="12" spans="1:18" ht="26.25">
      <c r="A12" s="239" t="s">
        <v>356</v>
      </c>
      <c r="B12" s="240"/>
      <c r="C12" s="241" t="s">
        <v>229</v>
      </c>
      <c r="D12" s="268">
        <v>0.5</v>
      </c>
      <c r="E12" s="246" t="s">
        <v>227</v>
      </c>
      <c r="F12" s="240" t="s">
        <v>228</v>
      </c>
      <c r="G12" s="269"/>
      <c r="H12" s="331">
        <f>IF(G12=E12,D12,1)</f>
        <v>1</v>
      </c>
      <c r="I12" s="332"/>
      <c r="J12" s="332"/>
      <c r="K12" s="324"/>
      <c r="L12" s="324"/>
      <c r="M12" s="324"/>
      <c r="N12" s="324"/>
      <c r="O12" s="324"/>
      <c r="P12" s="322"/>
      <c r="Q12" s="322"/>
      <c r="R12" s="325"/>
    </row>
    <row r="13" spans="1:18" ht="26.25">
      <c r="A13" s="239" t="s">
        <v>357</v>
      </c>
      <c r="B13" s="240"/>
      <c r="C13" s="241" t="s">
        <v>224</v>
      </c>
      <c r="D13" s="268">
        <v>0.33</v>
      </c>
      <c r="E13" s="246" t="s">
        <v>227</v>
      </c>
      <c r="F13" s="240" t="s">
        <v>228</v>
      </c>
      <c r="G13" s="269"/>
      <c r="H13" s="331">
        <f>IF(G13=E13,D13,1)</f>
        <v>1</v>
      </c>
      <c r="I13" s="332"/>
      <c r="J13" s="332"/>
      <c r="K13" s="333" t="s">
        <v>292</v>
      </c>
      <c r="L13" s="324"/>
      <c r="M13" s="324"/>
      <c r="N13" s="324"/>
      <c r="O13" s="324"/>
      <c r="P13" s="322"/>
      <c r="Q13" s="322"/>
      <c r="R13" s="325"/>
    </row>
    <row r="14" spans="1:18" ht="12.75">
      <c r="A14" s="239"/>
      <c r="B14" s="240"/>
      <c r="C14" s="242" t="s">
        <v>112</v>
      </c>
      <c r="D14" s="268"/>
      <c r="E14" s="246"/>
      <c r="F14" s="240"/>
      <c r="G14" s="277"/>
      <c r="H14" s="334">
        <f>IF(OR(P15:P30),Q14,O14)</f>
        <v>1</v>
      </c>
      <c r="I14" s="332"/>
      <c r="J14" s="332"/>
      <c r="K14" s="335" t="str">
        <f>A15</f>
        <v>PM 3</v>
      </c>
      <c r="L14" s="336" t="str">
        <f>A16</f>
        <v>PM 4</v>
      </c>
      <c r="M14" s="336" t="str">
        <f>A17</f>
        <v>PM 5</v>
      </c>
      <c r="N14" s="336" t="str">
        <f>A18</f>
        <v>PM 6</v>
      </c>
      <c r="O14" s="337">
        <v>1</v>
      </c>
      <c r="P14" s="338"/>
      <c r="Q14" s="339">
        <f>SUM(Q15:Q30)</f>
        <v>0</v>
      </c>
      <c r="R14" s="325"/>
    </row>
    <row r="15" spans="1:18" ht="12.75">
      <c r="A15" s="239" t="s">
        <v>358</v>
      </c>
      <c r="B15" s="240" t="s">
        <v>267</v>
      </c>
      <c r="C15" s="241" t="s">
        <v>217</v>
      </c>
      <c r="D15" s="271" t="s">
        <v>362</v>
      </c>
      <c r="E15" s="246" t="s">
        <v>227</v>
      </c>
      <c r="F15" s="240" t="s">
        <v>228</v>
      </c>
      <c r="G15" s="269"/>
      <c r="H15" s="327"/>
      <c r="I15" s="322"/>
      <c r="J15" s="322"/>
      <c r="K15" s="340" t="s">
        <v>227</v>
      </c>
      <c r="L15" s="341" t="s">
        <v>227</v>
      </c>
      <c r="M15" s="341" t="s">
        <v>472</v>
      </c>
      <c r="N15" s="341" t="s">
        <v>227</v>
      </c>
      <c r="O15" s="342">
        <v>0.02</v>
      </c>
      <c r="P15" s="343" t="b">
        <f>AND($G15=$K15,$G16=$L15,IF($G17=$F$12,TRUE,IF($G17=$G$9,TRUE,FALSE)),$G18=$N15)</f>
        <v>0</v>
      </c>
      <c r="Q15" s="344">
        <f>P15*O15</f>
        <v>0</v>
      </c>
      <c r="R15" s="325"/>
    </row>
    <row r="16" spans="1:18" ht="12.75">
      <c r="A16" s="239" t="s">
        <v>359</v>
      </c>
      <c r="B16" s="240" t="s">
        <v>268</v>
      </c>
      <c r="C16" s="241" t="s">
        <v>500</v>
      </c>
      <c r="D16" s="271" t="s">
        <v>361</v>
      </c>
      <c r="E16" s="246" t="s">
        <v>227</v>
      </c>
      <c r="F16" s="240" t="s">
        <v>228</v>
      </c>
      <c r="G16" s="269"/>
      <c r="H16" s="331"/>
      <c r="I16" s="332"/>
      <c r="J16" s="332"/>
      <c r="K16" s="340" t="s">
        <v>227</v>
      </c>
      <c r="L16" s="341" t="s">
        <v>227</v>
      </c>
      <c r="M16" s="341" t="s">
        <v>472</v>
      </c>
      <c r="N16" s="345" t="s">
        <v>472</v>
      </c>
      <c r="O16" s="342">
        <v>0.05</v>
      </c>
      <c r="P16" s="343" t="b">
        <f>AND($G15=$K16,$G16=$L16,IF($G17=$F$12,TRUE,IF($G17=$G$9,TRUE,FALSE)),IF($G18=$F12,TRUE,IF($G18=$G$9,TRUE,FALSE)))</f>
        <v>0</v>
      </c>
      <c r="Q16" s="344">
        <f aca="true" t="shared" si="0" ref="Q16:Q25">P16*O16</f>
        <v>0</v>
      </c>
      <c r="R16" s="325"/>
    </row>
    <row r="17" spans="1:18" ht="12.75">
      <c r="A17" s="239" t="s">
        <v>360</v>
      </c>
      <c r="B17" s="240" t="s">
        <v>403</v>
      </c>
      <c r="C17" s="241" t="s">
        <v>493</v>
      </c>
      <c r="D17" s="268"/>
      <c r="E17" s="246" t="s">
        <v>227</v>
      </c>
      <c r="F17" s="240" t="s">
        <v>228</v>
      </c>
      <c r="G17" s="269"/>
      <c r="H17" s="331"/>
      <c r="I17" s="332"/>
      <c r="J17" s="332"/>
      <c r="K17" s="340" t="s">
        <v>227</v>
      </c>
      <c r="L17" s="345" t="s">
        <v>472</v>
      </c>
      <c r="M17" s="341" t="s">
        <v>472</v>
      </c>
      <c r="N17" s="341" t="s">
        <v>227</v>
      </c>
      <c r="O17" s="342">
        <v>0.5</v>
      </c>
      <c r="P17" s="343" t="b">
        <f>AND($G15=$K17,IF($G16=$F$12,TRUE,IF($G16=$G$9,TRUE,FALSE)),IF($G17=$F$12,TRUE,IF($G17=$G$9,TRUE,FALSE)),$G18=$N17)</f>
        <v>0</v>
      </c>
      <c r="Q17" s="344">
        <f t="shared" si="0"/>
        <v>0</v>
      </c>
      <c r="R17" s="325"/>
    </row>
    <row r="18" spans="1:18" ht="12.75">
      <c r="A18" s="239" t="s">
        <v>275</v>
      </c>
      <c r="B18" s="240" t="s">
        <v>404</v>
      </c>
      <c r="C18" s="241" t="s">
        <v>220</v>
      </c>
      <c r="D18" s="268"/>
      <c r="E18" s="246" t="s">
        <v>227</v>
      </c>
      <c r="F18" s="240" t="s">
        <v>228</v>
      </c>
      <c r="G18" s="269"/>
      <c r="H18" s="331"/>
      <c r="I18" s="332"/>
      <c r="J18" s="332"/>
      <c r="K18" s="346" t="s">
        <v>227</v>
      </c>
      <c r="L18" s="347" t="s">
        <v>472</v>
      </c>
      <c r="M18" s="348" t="s">
        <v>472</v>
      </c>
      <c r="N18" s="347" t="s">
        <v>472</v>
      </c>
      <c r="O18" s="349">
        <v>0.66</v>
      </c>
      <c r="P18" s="350" t="b">
        <f>AND($G15=$K18,IF($G16=$F$12,TRUE,IF($G$16=$G$9,TRUE,FALSE)),IF($G17=$F$12,TRUE,IF($G17=$G$9,TRUE,FALSE)),IF($G18=$F$12,TRUE,IF($G18=$G$9,TRUE,FALSE)))</f>
        <v>0</v>
      </c>
      <c r="Q18" s="351">
        <f t="shared" si="0"/>
        <v>0</v>
      </c>
      <c r="R18" s="325"/>
    </row>
    <row r="19" spans="1:18" ht="12.75" customHeight="1" hidden="1">
      <c r="A19" s="239"/>
      <c r="B19" s="240"/>
      <c r="C19" s="241"/>
      <c r="D19" s="268"/>
      <c r="E19" s="246"/>
      <c r="F19" s="240"/>
      <c r="G19" s="277"/>
      <c r="H19" s="331"/>
      <c r="I19" s="332"/>
      <c r="J19" s="332"/>
      <c r="K19" s="340" t="s">
        <v>227</v>
      </c>
      <c r="L19" s="341" t="s">
        <v>472</v>
      </c>
      <c r="M19" s="341" t="s">
        <v>227</v>
      </c>
      <c r="N19" s="341" t="s">
        <v>227</v>
      </c>
      <c r="O19" s="342">
        <v>0.01</v>
      </c>
      <c r="P19" s="343" t="b">
        <f>AND(G15=K19,IF(G16=F$12,TRUE,IF(G16=G$9,TRUE,FALSE)),G17=M19,G18=N19)</f>
        <v>0</v>
      </c>
      <c r="Q19" s="344">
        <f t="shared" si="0"/>
        <v>0</v>
      </c>
      <c r="R19" s="325"/>
    </row>
    <row r="20" spans="1:18" ht="12.75" customHeight="1" hidden="1">
      <c r="A20" s="239"/>
      <c r="B20" s="240"/>
      <c r="C20" s="241"/>
      <c r="D20" s="268"/>
      <c r="E20" s="246"/>
      <c r="F20" s="240"/>
      <c r="G20" s="277"/>
      <c r="H20" s="331"/>
      <c r="I20" s="332"/>
      <c r="J20" s="332"/>
      <c r="K20" s="340" t="s">
        <v>227</v>
      </c>
      <c r="L20" s="341" t="s">
        <v>472</v>
      </c>
      <c r="M20" s="341" t="s">
        <v>227</v>
      </c>
      <c r="N20" s="345" t="s">
        <v>472</v>
      </c>
      <c r="O20" s="342">
        <v>0.02</v>
      </c>
      <c r="P20" s="343" t="b">
        <f>AND(G15=K20,IF(G16=F$12,TRUE,IF(G16=G$9,TRUE,FALSE)),G17=M20,IF(G18=F$12,TRUE,IF(G18=G$9,TRUE,FALSE)))</f>
        <v>0</v>
      </c>
      <c r="Q20" s="344">
        <f t="shared" si="0"/>
        <v>0</v>
      </c>
      <c r="R20" s="325"/>
    </row>
    <row r="21" spans="1:18" ht="12.75" customHeight="1" hidden="1">
      <c r="A21" s="239"/>
      <c r="B21" s="240"/>
      <c r="C21" s="241"/>
      <c r="D21" s="268"/>
      <c r="E21" s="246"/>
      <c r="F21" s="240"/>
      <c r="G21" s="277"/>
      <c r="H21" s="331"/>
      <c r="I21" s="332"/>
      <c r="J21" s="332"/>
      <c r="K21" s="352" t="s">
        <v>472</v>
      </c>
      <c r="L21" s="341" t="s">
        <v>227</v>
      </c>
      <c r="M21" s="341" t="s">
        <v>472</v>
      </c>
      <c r="N21" s="341" t="s">
        <v>472</v>
      </c>
      <c r="O21" s="342">
        <v>0.8</v>
      </c>
      <c r="P21" s="343" t="b">
        <f>AND(IF(G15=F$12,TRUE,IF(G15=G$9,TRUE,FALSE)),IF(G17=F$12,TRUE,IF(G17=G$9,TRUE,FALSE)),G16=L21,IF(G18=F$12,TRUE,IF(G18=G$9,TRUE,FALSE)))</f>
        <v>0</v>
      </c>
      <c r="Q21" s="344">
        <f t="shared" si="0"/>
        <v>0</v>
      </c>
      <c r="R21" s="325"/>
    </row>
    <row r="22" spans="1:18" ht="12.75" customHeight="1" hidden="1">
      <c r="A22" s="239"/>
      <c r="B22" s="240"/>
      <c r="C22" s="241"/>
      <c r="D22" s="268"/>
      <c r="E22" s="246"/>
      <c r="F22" s="240"/>
      <c r="G22" s="277"/>
      <c r="H22" s="331"/>
      <c r="I22" s="332"/>
      <c r="J22" s="332"/>
      <c r="K22" s="352" t="s">
        <v>472</v>
      </c>
      <c r="L22" s="345" t="s">
        <v>472</v>
      </c>
      <c r="M22" s="341" t="s">
        <v>472</v>
      </c>
      <c r="N22" s="341" t="s">
        <v>472</v>
      </c>
      <c r="O22" s="342">
        <v>1</v>
      </c>
      <c r="P22" s="343" t="b">
        <f>AND(IF(G15=F$12,TRUE,IF(G15=G$9,TRUE,FALSE)),IF(G16=F$12,TRUE,IF(G16=G$9,TRUE,FALSE)),IF(G17=F$12,TRUE,IF(G17=G$9,TRUE,FALSE)),IF(G18=F$12,TRUE,IF(G18=G$9,TRUE,FALSE)),)</f>
        <v>0</v>
      </c>
      <c r="Q22" s="344">
        <f t="shared" si="0"/>
        <v>0</v>
      </c>
      <c r="R22" s="325"/>
    </row>
    <row r="23" spans="1:18" ht="12.75" customHeight="1" hidden="1">
      <c r="A23" s="239"/>
      <c r="B23" s="240"/>
      <c r="C23" s="241"/>
      <c r="D23" s="268"/>
      <c r="E23" s="246"/>
      <c r="F23" s="240"/>
      <c r="G23" s="277"/>
      <c r="H23" s="331"/>
      <c r="I23" s="332"/>
      <c r="J23" s="332"/>
      <c r="K23" s="352" t="s">
        <v>472</v>
      </c>
      <c r="L23" s="341" t="s">
        <v>472</v>
      </c>
      <c r="M23" s="341" t="s">
        <v>227</v>
      </c>
      <c r="N23" s="341" t="s">
        <v>472</v>
      </c>
      <c r="O23" s="342">
        <v>0.8</v>
      </c>
      <c r="P23" s="343" t="b">
        <f>AND(IF(G15=F$12,TRUE,IF(G15=G$9,TRUE,FALSE)),IF(G16=F$12,TRUE,IF(G16=G$9,TRUE,FALSE)),G17=M23,IF(G18=F$12,TRUE,IF(G18=G$9,TRUE,FALSE)))</f>
        <v>0</v>
      </c>
      <c r="Q23" s="344">
        <f t="shared" si="0"/>
        <v>0</v>
      </c>
      <c r="R23" s="325"/>
    </row>
    <row r="24" spans="1:18" ht="26.25">
      <c r="A24" s="239" t="s">
        <v>276</v>
      </c>
      <c r="B24" s="240"/>
      <c r="C24" s="241" t="s">
        <v>77</v>
      </c>
      <c r="D24" s="268">
        <v>0.5</v>
      </c>
      <c r="E24" s="246" t="s">
        <v>227</v>
      </c>
      <c r="F24" s="240" t="s">
        <v>228</v>
      </c>
      <c r="G24" s="269"/>
      <c r="H24" s="331">
        <f>IF(G24=E24,D24,1)</f>
        <v>1</v>
      </c>
      <c r="I24" s="332"/>
      <c r="J24" s="332"/>
      <c r="K24" s="335" t="s">
        <v>227</v>
      </c>
      <c r="L24" s="336" t="s">
        <v>227</v>
      </c>
      <c r="M24" s="336" t="s">
        <v>227</v>
      </c>
      <c r="N24" s="336" t="s">
        <v>227</v>
      </c>
      <c r="O24" s="353">
        <v>0.01</v>
      </c>
      <c r="P24" s="354" t="b">
        <f>AND(G15=K24,G16=L24,G17=M24,G18=N24)</f>
        <v>0</v>
      </c>
      <c r="Q24" s="355">
        <f t="shared" si="0"/>
        <v>0</v>
      </c>
      <c r="R24" s="325"/>
    </row>
    <row r="25" spans="1:18" ht="12.75">
      <c r="A25" s="239" t="s">
        <v>277</v>
      </c>
      <c r="B25" s="240"/>
      <c r="C25" s="241" t="s">
        <v>221</v>
      </c>
      <c r="D25" s="268">
        <v>0.5</v>
      </c>
      <c r="E25" s="246" t="s">
        <v>227</v>
      </c>
      <c r="F25" s="240" t="s">
        <v>228</v>
      </c>
      <c r="G25" s="269"/>
      <c r="H25" s="331">
        <f>IF(G25=E25,D25,1)</f>
        <v>1</v>
      </c>
      <c r="I25" s="332"/>
      <c r="J25" s="332"/>
      <c r="K25" s="340" t="s">
        <v>227</v>
      </c>
      <c r="L25" s="341" t="s">
        <v>227</v>
      </c>
      <c r="M25" s="341" t="s">
        <v>227</v>
      </c>
      <c r="N25" s="345" t="s">
        <v>472</v>
      </c>
      <c r="O25" s="342">
        <v>0.02</v>
      </c>
      <c r="P25" s="356" t="b">
        <f>AND(G15=K25,G16=L25,G17=M25,IF(G18=F$12,TRUE,IF(G18=G$9,TRUE,FALSE)))</f>
        <v>0</v>
      </c>
      <c r="Q25" s="344">
        <f t="shared" si="0"/>
        <v>0</v>
      </c>
      <c r="R25" s="325"/>
    </row>
    <row r="26" spans="1:18" ht="12.75" customHeight="1" hidden="1">
      <c r="A26" s="240"/>
      <c r="B26" s="240"/>
      <c r="C26" s="241"/>
      <c r="D26" s="239"/>
      <c r="E26" s="240"/>
      <c r="F26" s="240"/>
      <c r="G26" s="277"/>
      <c r="H26" s="327"/>
      <c r="I26" s="322"/>
      <c r="J26" s="322"/>
      <c r="K26" s="357" t="s">
        <v>472</v>
      </c>
      <c r="L26" s="358" t="s">
        <v>472</v>
      </c>
      <c r="M26" s="358" t="s">
        <v>472</v>
      </c>
      <c r="N26" s="359" t="s">
        <v>227</v>
      </c>
      <c r="O26" s="342">
        <v>1</v>
      </c>
      <c r="P26" s="356" t="b">
        <f>AND(IF(G15=F$12,TRUE,IF(G15=G$9,TRUE,FALSE)),IF(G16=F$12,TRUE,IF(G16=G$9,TRUE,FALSE)),IF(G17=F$12,TRUE,IF(G17=G$9,TRUE,FALSE)),G18=N26)</f>
        <v>0</v>
      </c>
      <c r="Q26" s="344">
        <f>P26*O26</f>
        <v>0</v>
      </c>
      <c r="R26" s="325"/>
    </row>
    <row r="27" spans="1:18" ht="12.75" customHeight="1" hidden="1">
      <c r="A27" s="167" t="s">
        <v>354</v>
      </c>
      <c r="B27" s="49"/>
      <c r="C27" s="59"/>
      <c r="D27" s="160"/>
      <c r="E27" s="49"/>
      <c r="F27" s="49"/>
      <c r="G27" s="172">
        <f>PRODUCT(H12:H25)</f>
        <v>1</v>
      </c>
      <c r="H27" s="324"/>
      <c r="I27" s="322"/>
      <c r="J27" s="322"/>
      <c r="K27" s="357" t="s">
        <v>472</v>
      </c>
      <c r="L27" s="358" t="s">
        <v>472</v>
      </c>
      <c r="M27" s="359" t="s">
        <v>227</v>
      </c>
      <c r="N27" s="359" t="s">
        <v>227</v>
      </c>
      <c r="O27" s="342">
        <v>0.8</v>
      </c>
      <c r="P27" s="356" t="b">
        <f>AND(IF(G15=F$12,TRUE,IF(G15=G$9,TRUE,FALSE)),IF(G16=F$12,TRUE,IF(G16=G$9,TRUE,FALSE)),G17=M27,G18=N27)</f>
        <v>0</v>
      </c>
      <c r="Q27" s="344">
        <f>P27*O27</f>
        <v>0</v>
      </c>
      <c r="R27" s="325"/>
    </row>
    <row r="28" spans="1:18" ht="12.75">
      <c r="A28" s="168" t="s">
        <v>355</v>
      </c>
      <c r="B28" s="161"/>
      <c r="C28" s="162"/>
      <c r="D28" s="163"/>
      <c r="E28" s="161"/>
      <c r="F28" s="161"/>
      <c r="G28" s="169">
        <f>D9*PRODUCT(H12,H13,H14,H24,H25)</f>
        <v>10</v>
      </c>
      <c r="H28" s="324"/>
      <c r="I28" s="322"/>
      <c r="J28" s="322"/>
      <c r="K28" s="357" t="s">
        <v>472</v>
      </c>
      <c r="L28" s="359" t="s">
        <v>227</v>
      </c>
      <c r="M28" s="358" t="s">
        <v>472</v>
      </c>
      <c r="N28" s="359" t="s">
        <v>227</v>
      </c>
      <c r="O28" s="342">
        <v>0.8</v>
      </c>
      <c r="P28" s="356" t="b">
        <f>AND(IF(G15=F$12,TRUE,IF(G15=G$9,TRUE,FALSE)),G16=L28,IF(G17=F$12,TRUE,IF(G17=G$9,TRUE,FALSE)),G18=N28)</f>
        <v>0</v>
      </c>
      <c r="Q28" s="344">
        <f>P28*O28</f>
        <v>0</v>
      </c>
      <c r="R28" s="325"/>
    </row>
    <row r="29" spans="8:18" ht="12.75">
      <c r="H29" s="324"/>
      <c r="I29" s="322"/>
      <c r="J29" s="322"/>
      <c r="K29" s="357" t="s">
        <v>472</v>
      </c>
      <c r="L29" s="359" t="s">
        <v>227</v>
      </c>
      <c r="M29" s="359" t="s">
        <v>227</v>
      </c>
      <c r="N29" s="359" t="s">
        <v>227</v>
      </c>
      <c r="O29" s="342">
        <v>0.8</v>
      </c>
      <c r="P29" s="356" t="b">
        <f>AND(IF(G15=F$12,TRUE,IF(G15=G$9,TRUE,FALSE)),G16=L29,G17=M29,G18=N29)</f>
        <v>0</v>
      </c>
      <c r="Q29" s="344">
        <f>P29*O29</f>
        <v>0</v>
      </c>
      <c r="R29" s="325"/>
    </row>
    <row r="30" spans="1:18" ht="21">
      <c r="A30" s="166" t="s">
        <v>347</v>
      </c>
      <c r="B30" s="161"/>
      <c r="C30" s="166" t="s">
        <v>234</v>
      </c>
      <c r="D30" s="163"/>
      <c r="E30" s="161"/>
      <c r="F30" s="161"/>
      <c r="G30" s="301"/>
      <c r="H30" s="323"/>
      <c r="I30" s="322"/>
      <c r="J30" s="322"/>
      <c r="K30" s="360" t="s">
        <v>472</v>
      </c>
      <c r="L30" s="361" t="s">
        <v>227</v>
      </c>
      <c r="M30" s="361" t="s">
        <v>227</v>
      </c>
      <c r="N30" s="362" t="s">
        <v>472</v>
      </c>
      <c r="O30" s="349">
        <v>0.8</v>
      </c>
      <c r="P30" s="363" t="b">
        <f>AND(IF(G15=F$12,TRUE,IF(G15=G$9,TRUE,FALSE)),G16=L30,G17=M30,IF(G18=F$12,TRUE,IF(G18=G$9,TRUE,FALSE)))</f>
        <v>0</v>
      </c>
      <c r="Q30" s="351">
        <f>P30*O30</f>
        <v>0</v>
      </c>
      <c r="R30" s="325"/>
    </row>
    <row r="31" spans="7:18" ht="12.75">
      <c r="G31" s="160"/>
      <c r="H31" s="326"/>
      <c r="I31" s="322"/>
      <c r="J31" s="322"/>
      <c r="K31" s="324"/>
      <c r="L31" s="324"/>
      <c r="M31" s="324"/>
      <c r="N31" s="324"/>
      <c r="O31" s="324"/>
      <c r="P31" s="322"/>
      <c r="Q31" s="322"/>
      <c r="R31" s="325"/>
    </row>
    <row r="32" spans="1:18" ht="15" customHeight="1">
      <c r="A32" s="422" t="s">
        <v>534</v>
      </c>
      <c r="B32" s="422"/>
      <c r="C32" s="422"/>
      <c r="D32" s="170" t="str">
        <f>$D$8</f>
        <v>Kengetal risico</v>
      </c>
      <c r="F32" s="44"/>
      <c r="G32" s="272"/>
      <c r="H32" s="364"/>
      <c r="I32" s="328"/>
      <c r="J32" s="328"/>
      <c r="K32" s="324"/>
      <c r="L32" s="324"/>
      <c r="M32" s="324"/>
      <c r="N32" s="324"/>
      <c r="O32" s="324"/>
      <c r="P32" s="322"/>
      <c r="Q32" s="322"/>
      <c r="R32" s="325"/>
    </row>
    <row r="33" spans="3:18" ht="66">
      <c r="C33" s="59" t="s">
        <v>238</v>
      </c>
      <c r="D33" s="160">
        <v>100</v>
      </c>
      <c r="E33" s="49"/>
      <c r="G33" s="160"/>
      <c r="H33" s="365"/>
      <c r="I33" s="322"/>
      <c r="J33" s="322"/>
      <c r="K33" s="324"/>
      <c r="L33" s="324"/>
      <c r="M33" s="324"/>
      <c r="N33" s="324"/>
      <c r="O33" s="324"/>
      <c r="P33" s="322"/>
      <c r="Q33" s="322"/>
      <c r="R33" s="325"/>
    </row>
    <row r="34" spans="4:18" ht="12.75">
      <c r="D34" s="160"/>
      <c r="E34" s="49"/>
      <c r="G34" s="160"/>
      <c r="H34" s="327"/>
      <c r="I34" s="322"/>
      <c r="J34" s="322"/>
      <c r="K34" s="324"/>
      <c r="L34" s="324"/>
      <c r="M34" s="324"/>
      <c r="N34" s="324"/>
      <c r="O34" s="324"/>
      <c r="P34" s="322"/>
      <c r="Q34" s="322"/>
      <c r="R34" s="325"/>
    </row>
    <row r="35" spans="1:18" ht="12.75">
      <c r="A35" s="165" t="s">
        <v>352</v>
      </c>
      <c r="D35" s="170" t="s">
        <v>185</v>
      </c>
      <c r="E35" s="44" t="str">
        <f>$E$11</f>
        <v>Mogelijke antwoorden</v>
      </c>
      <c r="G35" s="237" t="s">
        <v>226</v>
      </c>
      <c r="H35" s="330" t="s">
        <v>186</v>
      </c>
      <c r="I35" s="322"/>
      <c r="J35" s="322"/>
      <c r="K35" s="324"/>
      <c r="L35" s="324"/>
      <c r="M35" s="324"/>
      <c r="N35" s="324"/>
      <c r="O35" s="324"/>
      <c r="P35" s="322"/>
      <c r="Q35" s="322"/>
      <c r="R35" s="325"/>
    </row>
    <row r="36" spans="1:18" ht="26.25">
      <c r="A36" s="255" t="s">
        <v>278</v>
      </c>
      <c r="B36" s="240"/>
      <c r="C36" s="241" t="s">
        <v>53</v>
      </c>
      <c r="D36" s="273">
        <v>0.25</v>
      </c>
      <c r="E36" s="240" t="s">
        <v>227</v>
      </c>
      <c r="F36" s="240" t="s">
        <v>228</v>
      </c>
      <c r="G36" s="269"/>
      <c r="H36" s="331">
        <f>IF(G36=E36,D36,1)</f>
        <v>1</v>
      </c>
      <c r="I36" s="332"/>
      <c r="J36" s="332"/>
      <c r="K36" s="324"/>
      <c r="L36" s="324"/>
      <c r="M36" s="324"/>
      <c r="N36" s="324"/>
      <c r="O36" s="324"/>
      <c r="P36" s="322"/>
      <c r="Q36" s="322"/>
      <c r="R36" s="325"/>
    </row>
    <row r="37" spans="1:18" ht="12.75">
      <c r="A37" s="255" t="s">
        <v>279</v>
      </c>
      <c r="B37" s="240"/>
      <c r="C37" s="241" t="s">
        <v>483</v>
      </c>
      <c r="D37" s="268">
        <v>0.1</v>
      </c>
      <c r="E37" s="246" t="s">
        <v>227</v>
      </c>
      <c r="F37" s="240" t="s">
        <v>228</v>
      </c>
      <c r="G37" s="269"/>
      <c r="H37" s="331">
        <f>IF(G37=E37,D37,1)</f>
        <v>1</v>
      </c>
      <c r="I37" s="332"/>
      <c r="J37" s="332"/>
      <c r="K37" s="324"/>
      <c r="L37" s="324"/>
      <c r="M37" s="324"/>
      <c r="N37" s="324"/>
      <c r="O37" s="324"/>
      <c r="P37" s="322"/>
      <c r="Q37" s="322"/>
      <c r="R37" s="325"/>
    </row>
    <row r="38" spans="1:18" ht="12.75">
      <c r="A38" s="255" t="s">
        <v>280</v>
      </c>
      <c r="B38" s="240"/>
      <c r="C38" s="241" t="s">
        <v>484</v>
      </c>
      <c r="D38" s="268">
        <v>0.2</v>
      </c>
      <c r="E38" s="246" t="s">
        <v>227</v>
      </c>
      <c r="F38" s="240" t="s">
        <v>228</v>
      </c>
      <c r="G38" s="274"/>
      <c r="H38" s="331">
        <f>IF(G38=E38,D38,1)</f>
        <v>1</v>
      </c>
      <c r="I38" s="332"/>
      <c r="J38" s="332"/>
      <c r="K38" s="324"/>
      <c r="L38" s="324"/>
      <c r="M38" s="324"/>
      <c r="N38" s="324"/>
      <c r="O38" s="324"/>
      <c r="P38" s="324"/>
      <c r="Q38" s="324"/>
      <c r="R38" s="325"/>
    </row>
    <row r="39" spans="1:18" s="95" customFormat="1" ht="12.75">
      <c r="A39" s="256"/>
      <c r="B39" s="243"/>
      <c r="C39" s="257" t="s">
        <v>501</v>
      </c>
      <c r="D39" s="268"/>
      <c r="E39" s="246"/>
      <c r="F39" s="240"/>
      <c r="G39" s="277"/>
      <c r="H39" s="331">
        <f>K40</f>
        <v>1</v>
      </c>
      <c r="I39" s="322"/>
      <c r="J39" s="332"/>
      <c r="K39" s="324"/>
      <c r="L39" s="324"/>
      <c r="M39" s="324"/>
      <c r="N39" s="324"/>
      <c r="O39" s="324"/>
      <c r="P39" s="324"/>
      <c r="Q39" s="324"/>
      <c r="R39" s="366"/>
    </row>
    <row r="40" spans="1:18" s="95" customFormat="1" ht="12.75">
      <c r="A40" s="255" t="s">
        <v>281</v>
      </c>
      <c r="B40" s="243" t="s">
        <v>267</v>
      </c>
      <c r="C40" s="275" t="s">
        <v>315</v>
      </c>
      <c r="D40" s="268">
        <v>0.02</v>
      </c>
      <c r="E40" s="246" t="s">
        <v>227</v>
      </c>
      <c r="F40" s="240" t="s">
        <v>228</v>
      </c>
      <c r="G40" s="269"/>
      <c r="H40" s="327"/>
      <c r="I40" s="332"/>
      <c r="J40" s="367"/>
      <c r="K40" s="368">
        <f>IF(G40=E40,D40,IF(G41=E41,D41,100%))</f>
        <v>1</v>
      </c>
      <c r="L40" s="324"/>
      <c r="M40" s="324"/>
      <c r="N40" s="324"/>
      <c r="O40" s="324"/>
      <c r="P40" s="324"/>
      <c r="Q40" s="324"/>
      <c r="R40" s="366"/>
    </row>
    <row r="41" spans="1:18" s="95" customFormat="1" ht="39">
      <c r="A41" s="256" t="s">
        <v>85</v>
      </c>
      <c r="B41" s="243" t="s">
        <v>268</v>
      </c>
      <c r="C41" s="275" t="s">
        <v>398</v>
      </c>
      <c r="D41" s="268">
        <v>0.1</v>
      </c>
      <c r="E41" s="246" t="s">
        <v>227</v>
      </c>
      <c r="F41" s="240" t="s">
        <v>228</v>
      </c>
      <c r="G41" s="269"/>
      <c r="H41" s="331"/>
      <c r="I41" s="332"/>
      <c r="J41" s="369"/>
      <c r="K41" s="333" t="s">
        <v>291</v>
      </c>
      <c r="L41" s="359"/>
      <c r="M41" s="359"/>
      <c r="N41" s="324"/>
      <c r="O41" s="324"/>
      <c r="P41" s="324"/>
      <c r="Q41" s="324"/>
      <c r="R41" s="366"/>
    </row>
    <row r="42" spans="1:18" s="95" customFormat="1" ht="12.75" customHeight="1" hidden="1">
      <c r="A42" s="243"/>
      <c r="B42" s="243"/>
      <c r="C42" s="275"/>
      <c r="D42" s="268"/>
      <c r="E42" s="246"/>
      <c r="F42" s="240"/>
      <c r="G42" s="313"/>
      <c r="H42" s="331"/>
      <c r="I42" s="332"/>
      <c r="J42" s="332"/>
      <c r="K42" s="332"/>
      <c r="L42" s="332"/>
      <c r="M42" s="332"/>
      <c r="N42" s="332"/>
      <c r="O42" s="332"/>
      <c r="P42" s="332"/>
      <c r="Q42" s="332"/>
      <c r="R42" s="366"/>
    </row>
    <row r="43" spans="1:18" s="95" customFormat="1" ht="12.75" customHeight="1" hidden="1">
      <c r="A43" s="243"/>
      <c r="B43" s="243"/>
      <c r="C43" s="275"/>
      <c r="D43" s="268"/>
      <c r="E43" s="246"/>
      <c r="F43" s="240"/>
      <c r="G43" s="313"/>
      <c r="H43" s="331"/>
      <c r="I43" s="332"/>
      <c r="J43" s="332"/>
      <c r="K43" s="333" t="s">
        <v>291</v>
      </c>
      <c r="L43" s="332"/>
      <c r="M43" s="332"/>
      <c r="N43" s="332"/>
      <c r="O43" s="332"/>
      <c r="P43" s="332"/>
      <c r="Q43" s="332"/>
      <c r="R43" s="366"/>
    </row>
    <row r="44" spans="1:18" s="95" customFormat="1" ht="12.75" customHeight="1" hidden="1">
      <c r="A44" s="243"/>
      <c r="B44" s="243"/>
      <c r="C44" s="275"/>
      <c r="D44" s="268"/>
      <c r="E44" s="246"/>
      <c r="F44" s="240"/>
      <c r="G44" s="313"/>
      <c r="H44" s="331"/>
      <c r="I44" s="332"/>
      <c r="J44" s="367"/>
      <c r="K44" s="367"/>
      <c r="L44" s="367"/>
      <c r="M44" s="367"/>
      <c r="N44" s="367"/>
      <c r="O44" s="367"/>
      <c r="P44" s="367"/>
      <c r="Q44" s="367"/>
      <c r="R44" s="366"/>
    </row>
    <row r="45" spans="1:18" ht="12.75">
      <c r="A45" s="240"/>
      <c r="B45" s="240"/>
      <c r="C45" s="242" t="s">
        <v>112</v>
      </c>
      <c r="D45" s="268"/>
      <c r="E45" s="246"/>
      <c r="F45" s="240"/>
      <c r="G45" s="277"/>
      <c r="H45" s="331">
        <f>IF(OR(P46:P63),Q45,O45)</f>
        <v>1</v>
      </c>
      <c r="I45" s="332"/>
      <c r="J45" s="332"/>
      <c r="K45" s="335" t="str">
        <f>A46</f>
        <v>PM 3</v>
      </c>
      <c r="L45" s="336" t="str">
        <f>A47</f>
        <v>PM 4</v>
      </c>
      <c r="M45" s="336" t="str">
        <f>A48</f>
        <v>PM 5</v>
      </c>
      <c r="N45" s="336" t="str">
        <f>A49</f>
        <v>PM 6</v>
      </c>
      <c r="O45" s="337">
        <v>1</v>
      </c>
      <c r="P45" s="338"/>
      <c r="Q45" s="339">
        <f>SUM(Q46:Q63)</f>
        <v>0</v>
      </c>
      <c r="R45" s="325"/>
    </row>
    <row r="46" spans="1:18" ht="12.75">
      <c r="A46" s="239" t="s">
        <v>358</v>
      </c>
      <c r="B46" s="240" t="s">
        <v>267</v>
      </c>
      <c r="C46" s="241" t="s">
        <v>217</v>
      </c>
      <c r="D46" s="271" t="s">
        <v>362</v>
      </c>
      <c r="E46" s="246" t="s">
        <v>227</v>
      </c>
      <c r="F46" s="240" t="s">
        <v>228</v>
      </c>
      <c r="G46" s="269"/>
      <c r="H46" s="327"/>
      <c r="I46" s="332"/>
      <c r="J46" s="322"/>
      <c r="K46" s="340" t="s">
        <v>227</v>
      </c>
      <c r="L46" s="341" t="s">
        <v>227</v>
      </c>
      <c r="M46" s="341" t="s">
        <v>472</v>
      </c>
      <c r="N46" s="341" t="s">
        <v>227</v>
      </c>
      <c r="O46" s="342">
        <v>0.02</v>
      </c>
      <c r="P46" s="343" t="b">
        <f>AND($G46=$K46,$G47=$L46,IF($G48=$F$12,TRUE,IF($G48=$G$9,TRUE,FALSE)),$G49=$N46)</f>
        <v>0</v>
      </c>
      <c r="Q46" s="344">
        <f>P46*O46</f>
        <v>0</v>
      </c>
      <c r="R46" s="325"/>
    </row>
    <row r="47" spans="1:18" ht="12.75">
      <c r="A47" s="239" t="s">
        <v>359</v>
      </c>
      <c r="B47" s="240" t="s">
        <v>268</v>
      </c>
      <c r="C47" s="241" t="s">
        <v>500</v>
      </c>
      <c r="D47" s="271" t="s">
        <v>282</v>
      </c>
      <c r="E47" s="246" t="s">
        <v>227</v>
      </c>
      <c r="F47" s="240" t="s">
        <v>228</v>
      </c>
      <c r="G47" s="269"/>
      <c r="H47" s="331"/>
      <c r="I47" s="332"/>
      <c r="J47" s="332"/>
      <c r="K47" s="340" t="s">
        <v>227</v>
      </c>
      <c r="L47" s="341" t="s">
        <v>227</v>
      </c>
      <c r="M47" s="341" t="s">
        <v>472</v>
      </c>
      <c r="N47" s="345" t="s">
        <v>472</v>
      </c>
      <c r="O47" s="342">
        <v>0.05</v>
      </c>
      <c r="P47" s="343" t="b">
        <f>AND($G46=$K47,$G47=$L47,IF($G48=$F$12,TRUE,IF($G48=$G$9,TRUE,FALSE)),IF($G49=$F12,TRUE,IF($G49=$G$9,TRUE,FALSE)))</f>
        <v>0</v>
      </c>
      <c r="Q47" s="344">
        <f aca="true" t="shared" si="1" ref="Q47:Q56">P47*O47</f>
        <v>0</v>
      </c>
      <c r="R47" s="325"/>
    </row>
    <row r="48" spans="1:18" ht="12.75">
      <c r="A48" s="239" t="s">
        <v>360</v>
      </c>
      <c r="B48" s="240" t="s">
        <v>403</v>
      </c>
      <c r="C48" s="241" t="s">
        <v>493</v>
      </c>
      <c r="D48" s="268"/>
      <c r="E48" s="246" t="s">
        <v>227</v>
      </c>
      <c r="F48" s="240" t="s">
        <v>228</v>
      </c>
      <c r="G48" s="269"/>
      <c r="H48" s="331"/>
      <c r="I48" s="332"/>
      <c r="J48" s="332"/>
      <c r="K48" s="340" t="s">
        <v>227</v>
      </c>
      <c r="L48" s="345" t="s">
        <v>472</v>
      </c>
      <c r="M48" s="341" t="s">
        <v>472</v>
      </c>
      <c r="N48" s="341" t="s">
        <v>227</v>
      </c>
      <c r="O48" s="342">
        <v>0.5</v>
      </c>
      <c r="P48" s="343" t="b">
        <f>AND($G46=$K48,IF($G47=$F$12,TRUE,IF($G47=$G$9,TRUE,FALSE)),IF($G48=$F$12,TRUE,IF($G48=$G$9,TRUE,FALSE)),$G49=$N48)</f>
        <v>0</v>
      </c>
      <c r="Q48" s="344">
        <f t="shared" si="1"/>
        <v>0</v>
      </c>
      <c r="R48" s="325"/>
    </row>
    <row r="49" spans="1:18" ht="12.75">
      <c r="A49" s="239" t="s">
        <v>275</v>
      </c>
      <c r="B49" s="240" t="s">
        <v>404</v>
      </c>
      <c r="C49" s="241" t="s">
        <v>220</v>
      </c>
      <c r="D49" s="268"/>
      <c r="E49" s="246" t="s">
        <v>227</v>
      </c>
      <c r="F49" s="240" t="s">
        <v>228</v>
      </c>
      <c r="G49" s="269"/>
      <c r="H49" s="331"/>
      <c r="I49" s="332"/>
      <c r="J49" s="332"/>
      <c r="K49" s="346" t="s">
        <v>227</v>
      </c>
      <c r="L49" s="347" t="s">
        <v>472</v>
      </c>
      <c r="M49" s="348" t="s">
        <v>472</v>
      </c>
      <c r="N49" s="347" t="s">
        <v>472</v>
      </c>
      <c r="O49" s="349">
        <v>0.66</v>
      </c>
      <c r="P49" s="350" t="b">
        <f>AND($G46=$K49,IF($G47=$F$12,TRUE,IF($G$47=$G$9,TRUE,FALSE)),IF($G48=$F$12,TRUE,IF($G48=$G$9,TRUE,FALSE)),IF($G49=$F$12,TRUE,IF($G49=$G$9,TRUE,FALSE)))</f>
        <v>0</v>
      </c>
      <c r="Q49" s="351">
        <f t="shared" si="1"/>
        <v>0</v>
      </c>
      <c r="R49" s="325"/>
    </row>
    <row r="50" spans="1:18" ht="12.75" customHeight="1" hidden="1">
      <c r="A50" s="240"/>
      <c r="B50" s="240"/>
      <c r="C50" s="241"/>
      <c r="D50" s="268"/>
      <c r="E50" s="246"/>
      <c r="F50" s="240"/>
      <c r="G50" s="277"/>
      <c r="H50" s="331"/>
      <c r="I50" s="332"/>
      <c r="J50" s="332"/>
      <c r="K50" s="340" t="s">
        <v>227</v>
      </c>
      <c r="L50" s="341" t="s">
        <v>472</v>
      </c>
      <c r="M50" s="341" t="s">
        <v>227</v>
      </c>
      <c r="N50" s="341" t="s">
        <v>227</v>
      </c>
      <c r="O50" s="342">
        <v>0.01</v>
      </c>
      <c r="P50" s="343" t="b">
        <f>AND(G46=K50,IF(G47=F$12,TRUE,IF(G47=G$9,TRUE,FALSE)),G48=M50,G49=N50)</f>
        <v>0</v>
      </c>
      <c r="Q50" s="344">
        <f t="shared" si="1"/>
        <v>0</v>
      </c>
      <c r="R50" s="325"/>
    </row>
    <row r="51" spans="1:18" ht="12.75" customHeight="1" hidden="1">
      <c r="A51" s="240"/>
      <c r="B51" s="240"/>
      <c r="C51" s="241"/>
      <c r="D51" s="268"/>
      <c r="E51" s="246"/>
      <c r="F51" s="240"/>
      <c r="G51" s="277"/>
      <c r="H51" s="331"/>
      <c r="I51" s="332"/>
      <c r="J51" s="332"/>
      <c r="K51" s="340" t="s">
        <v>227</v>
      </c>
      <c r="L51" s="341" t="s">
        <v>472</v>
      </c>
      <c r="M51" s="341" t="s">
        <v>227</v>
      </c>
      <c r="N51" s="345" t="s">
        <v>472</v>
      </c>
      <c r="O51" s="342">
        <v>0.02</v>
      </c>
      <c r="P51" s="343" t="b">
        <f>AND(G46=K51,IF(G47=F$12,TRUE,IF(G47=G$9,TRUE,FALSE)),G48=M51,IF(G49=F$12,TRUE,IF(G49=G$9,TRUE,FALSE)))</f>
        <v>0</v>
      </c>
      <c r="Q51" s="344">
        <f t="shared" si="1"/>
        <v>0</v>
      </c>
      <c r="R51" s="325"/>
    </row>
    <row r="52" spans="1:18" ht="12.75" customHeight="1" hidden="1">
      <c r="A52" s="240"/>
      <c r="B52" s="240"/>
      <c r="C52" s="241"/>
      <c r="D52" s="268"/>
      <c r="E52" s="246"/>
      <c r="F52" s="240"/>
      <c r="G52" s="277"/>
      <c r="H52" s="331"/>
      <c r="I52" s="332"/>
      <c r="J52" s="332"/>
      <c r="K52" s="352" t="s">
        <v>472</v>
      </c>
      <c r="L52" s="341" t="s">
        <v>227</v>
      </c>
      <c r="M52" s="341" t="s">
        <v>472</v>
      </c>
      <c r="N52" s="341" t="s">
        <v>472</v>
      </c>
      <c r="O52" s="342">
        <v>0.8</v>
      </c>
      <c r="P52" s="343" t="b">
        <f>AND(IF(G46=F$12,TRUE,IF(G46=G$9,TRUE,FALSE)),IF(G48=F$12,TRUE,IF(G48=G$9,TRUE,FALSE)),G47=L52,IF(G49=F$12,TRUE,IF(G49=G$9,TRUE,FALSE)))</f>
        <v>0</v>
      </c>
      <c r="Q52" s="344">
        <f t="shared" si="1"/>
        <v>0</v>
      </c>
      <c r="R52" s="325"/>
    </row>
    <row r="53" spans="1:18" ht="12.75" customHeight="1" hidden="1">
      <c r="A53" s="240"/>
      <c r="B53" s="240"/>
      <c r="C53" s="241"/>
      <c r="D53" s="268"/>
      <c r="E53" s="246"/>
      <c r="F53" s="240"/>
      <c r="G53" s="277"/>
      <c r="H53" s="331"/>
      <c r="I53" s="332"/>
      <c r="J53" s="332"/>
      <c r="K53" s="352" t="s">
        <v>472</v>
      </c>
      <c r="L53" s="345" t="s">
        <v>472</v>
      </c>
      <c r="M53" s="341" t="s">
        <v>472</v>
      </c>
      <c r="N53" s="341" t="s">
        <v>472</v>
      </c>
      <c r="O53" s="342">
        <v>1</v>
      </c>
      <c r="P53" s="343" t="b">
        <f>AND(IF(G46=F$12,TRUE,IF(G46=G$9,TRUE,FALSE)),IF(G47=F$12,TRUE,IF(G47=G$9,TRUE,FALSE)),IF(G48=F$12,TRUE,IF(G48=G$9,TRUE,FALSE)),IF(G49=F$12,TRUE,IF(G49=G$9,TRUE,FALSE)),)</f>
        <v>0</v>
      </c>
      <c r="Q53" s="344">
        <f t="shared" si="1"/>
        <v>0</v>
      </c>
      <c r="R53" s="325"/>
    </row>
    <row r="54" spans="1:18" ht="12.75" customHeight="1" hidden="1">
      <c r="A54" s="240"/>
      <c r="B54" s="240"/>
      <c r="C54" s="241"/>
      <c r="D54" s="268"/>
      <c r="E54" s="246"/>
      <c r="F54" s="240"/>
      <c r="G54" s="277"/>
      <c r="H54" s="331"/>
      <c r="I54" s="332"/>
      <c r="J54" s="332"/>
      <c r="K54" s="352" t="s">
        <v>472</v>
      </c>
      <c r="L54" s="341" t="s">
        <v>472</v>
      </c>
      <c r="M54" s="341" t="s">
        <v>227</v>
      </c>
      <c r="N54" s="341" t="s">
        <v>472</v>
      </c>
      <c r="O54" s="342">
        <v>0.8</v>
      </c>
      <c r="P54" s="343" t="b">
        <f>AND(IF(G46=F$12,TRUE,IF(G46=G$9,TRUE,FALSE)),IF(G47=F$12,TRUE,IF(G47=G$9,TRUE,FALSE)),G48=M54,IF(G49=F$12,TRUE,IF(G49=G$9,TRUE,FALSE)))</f>
        <v>0</v>
      </c>
      <c r="Q54" s="344">
        <f t="shared" si="1"/>
        <v>0</v>
      </c>
      <c r="R54" s="325"/>
    </row>
    <row r="55" spans="1:18" ht="26.25">
      <c r="A55" s="239" t="s">
        <v>276</v>
      </c>
      <c r="B55" s="240"/>
      <c r="C55" s="241" t="s">
        <v>77</v>
      </c>
      <c r="D55" s="268">
        <v>0.5</v>
      </c>
      <c r="E55" s="246" t="s">
        <v>227</v>
      </c>
      <c r="F55" s="240" t="s">
        <v>228</v>
      </c>
      <c r="G55" s="269"/>
      <c r="H55" s="331">
        <f>IF(G55=E55,D55,1)</f>
        <v>1</v>
      </c>
      <c r="I55" s="332"/>
      <c r="J55" s="332"/>
      <c r="K55" s="335" t="s">
        <v>227</v>
      </c>
      <c r="L55" s="336" t="s">
        <v>227</v>
      </c>
      <c r="M55" s="336" t="s">
        <v>227</v>
      </c>
      <c r="N55" s="336" t="s">
        <v>227</v>
      </c>
      <c r="O55" s="353">
        <v>0.01</v>
      </c>
      <c r="P55" s="354" t="b">
        <f>AND(G46=K55,G47=L55,G48=M55,G49=N55)</f>
        <v>0</v>
      </c>
      <c r="Q55" s="355">
        <f t="shared" si="1"/>
        <v>0</v>
      </c>
      <c r="R55" s="325"/>
    </row>
    <row r="56" spans="1:18" ht="12.75">
      <c r="A56" s="239" t="s">
        <v>277</v>
      </c>
      <c r="B56" s="240"/>
      <c r="C56" s="241" t="s">
        <v>221</v>
      </c>
      <c r="D56" s="268">
        <v>0.5</v>
      </c>
      <c r="E56" s="246" t="s">
        <v>227</v>
      </c>
      <c r="F56" s="240" t="s">
        <v>228</v>
      </c>
      <c r="G56" s="269"/>
      <c r="H56" s="331">
        <f>IF(G56=E56,D56,1)</f>
        <v>1</v>
      </c>
      <c r="I56" s="332"/>
      <c r="J56" s="332"/>
      <c r="K56" s="340" t="s">
        <v>227</v>
      </c>
      <c r="L56" s="341" t="s">
        <v>227</v>
      </c>
      <c r="M56" s="341" t="s">
        <v>227</v>
      </c>
      <c r="N56" s="345" t="s">
        <v>472</v>
      </c>
      <c r="O56" s="342">
        <v>0.02</v>
      </c>
      <c r="P56" s="356" t="b">
        <f>AND(G46=K56,G47=L56,G48=M56,IF(G49=F$12,TRUE,IF(G49=G$9,TRUE,FALSE)))</f>
        <v>0</v>
      </c>
      <c r="Q56" s="344">
        <f t="shared" si="1"/>
        <v>0</v>
      </c>
      <c r="R56" s="325"/>
    </row>
    <row r="57" spans="4:18" ht="12.75" customHeight="1" hidden="1">
      <c r="D57" s="60"/>
      <c r="E57" s="49"/>
      <c r="G57" s="160"/>
      <c r="H57" s="331"/>
      <c r="I57" s="332"/>
      <c r="J57" s="332"/>
      <c r="K57" s="357" t="s">
        <v>472</v>
      </c>
      <c r="L57" s="358" t="s">
        <v>472</v>
      </c>
      <c r="M57" s="358" t="s">
        <v>472</v>
      </c>
      <c r="N57" s="359" t="s">
        <v>227</v>
      </c>
      <c r="O57" s="342">
        <v>1</v>
      </c>
      <c r="P57" s="356" t="b">
        <f>AND(IF(G46=F$12,TRUE,IF(G46=G$9,TRUE,FALSE)),IF(G47=F$12,TRUE,IF(G47=G$9,TRUE,FALSE)),IF(G48=F$12,TRUE,IF(G48=G$9,TRUE,FALSE)),G49=N57)</f>
        <v>0</v>
      </c>
      <c r="Q57" s="344">
        <f>P57*O57</f>
        <v>0</v>
      </c>
      <c r="R57" s="325"/>
    </row>
    <row r="58" spans="1:18" ht="12.75" customHeight="1" hidden="1">
      <c r="A58" s="167" t="s">
        <v>354</v>
      </c>
      <c r="B58" s="49"/>
      <c r="C58" s="59"/>
      <c r="D58" s="160"/>
      <c r="E58" s="49"/>
      <c r="F58" s="49"/>
      <c r="G58" s="173">
        <f>PRODUCT(H36:H56)</f>
        <v>1</v>
      </c>
      <c r="H58" s="324"/>
      <c r="I58" s="332"/>
      <c r="J58" s="332"/>
      <c r="K58" s="357" t="s">
        <v>472</v>
      </c>
      <c r="L58" s="358" t="s">
        <v>472</v>
      </c>
      <c r="M58" s="359" t="s">
        <v>227</v>
      </c>
      <c r="N58" s="359" t="s">
        <v>227</v>
      </c>
      <c r="O58" s="342">
        <v>0.8</v>
      </c>
      <c r="P58" s="356" t="b">
        <f>AND(IF(G46=F$12,TRUE,IF(G46=G$9,TRUE,FALSE)),IF(G47=F$12,TRUE,IF(G47=G$9,TRUE,FALSE)),G48=M58,G49=N58)</f>
        <v>0</v>
      </c>
      <c r="Q58" s="344">
        <f>P58*O58</f>
        <v>0</v>
      </c>
      <c r="R58" s="325"/>
    </row>
    <row r="59" spans="1:18" ht="12.75">
      <c r="A59" s="168" t="s">
        <v>355</v>
      </c>
      <c r="B59" s="161"/>
      <c r="C59" s="162"/>
      <c r="D59" s="163"/>
      <c r="E59" s="161"/>
      <c r="F59" s="161"/>
      <c r="G59" s="169">
        <f>D33*PRODUCT(H36,H37,H38,H39,H45,H55,H56)</f>
        <v>100</v>
      </c>
      <c r="H59" s="324"/>
      <c r="I59" s="332"/>
      <c r="J59" s="332"/>
      <c r="K59" s="357" t="s">
        <v>472</v>
      </c>
      <c r="L59" s="359" t="s">
        <v>227</v>
      </c>
      <c r="M59" s="358" t="s">
        <v>472</v>
      </c>
      <c r="N59" s="359" t="s">
        <v>227</v>
      </c>
      <c r="O59" s="342">
        <v>0.8</v>
      </c>
      <c r="P59" s="356" t="b">
        <f>AND(IF(G46=F$12,TRUE,IF(G46=G$9,TRUE,FALSE)),G47=L59,IF(G48=F$12,TRUE,IF(G48=G$9,TRUE,FALSE)),G49=N59)</f>
        <v>0</v>
      </c>
      <c r="Q59" s="344">
        <f>P59*O59</f>
        <v>0</v>
      </c>
      <c r="R59" s="325"/>
    </row>
    <row r="60" spans="8:18" ht="12.75">
      <c r="H60" s="322"/>
      <c r="I60" s="322"/>
      <c r="J60" s="322"/>
      <c r="K60" s="357" t="s">
        <v>472</v>
      </c>
      <c r="L60" s="359" t="s">
        <v>227</v>
      </c>
      <c r="M60" s="359" t="s">
        <v>227</v>
      </c>
      <c r="N60" s="359" t="s">
        <v>227</v>
      </c>
      <c r="O60" s="342">
        <v>0.8</v>
      </c>
      <c r="P60" s="356" t="b">
        <f>AND(IF(G46=F$12,TRUE,IF(G46=G$9,TRUE,FALSE)),G47=L60,G48=M60,G49=N60)</f>
        <v>0</v>
      </c>
      <c r="Q60" s="344">
        <f>P60*O60</f>
        <v>0</v>
      </c>
      <c r="R60" s="325"/>
    </row>
    <row r="61" spans="1:18" ht="12.75">
      <c r="A61" s="422" t="s">
        <v>535</v>
      </c>
      <c r="B61" s="422"/>
      <c r="C61" s="422"/>
      <c r="D61" s="170" t="str">
        <f>$D$8</f>
        <v>Kengetal risico</v>
      </c>
      <c r="F61" s="165"/>
      <c r="G61" s="237"/>
      <c r="H61" s="330"/>
      <c r="I61" s="328"/>
      <c r="J61" s="328"/>
      <c r="K61" s="360" t="s">
        <v>472</v>
      </c>
      <c r="L61" s="361" t="s">
        <v>227</v>
      </c>
      <c r="M61" s="361" t="s">
        <v>227</v>
      </c>
      <c r="N61" s="362" t="s">
        <v>472</v>
      </c>
      <c r="O61" s="349">
        <v>0.8</v>
      </c>
      <c r="P61" s="363" t="b">
        <f>AND(IF(G46=F$12,TRUE,IF(G46=G$9,TRUE,FALSE)),G47=L61,G48=M61,IF(G49=F$12,TRUE,IF(G49=G$9,TRUE,FALSE)))</f>
        <v>0</v>
      </c>
      <c r="Q61" s="351">
        <f>P61*O61</f>
        <v>0</v>
      </c>
      <c r="R61" s="325"/>
    </row>
    <row r="62" spans="3:18" ht="39">
      <c r="C62" s="59" t="s">
        <v>80</v>
      </c>
      <c r="D62" s="160">
        <v>250</v>
      </c>
      <c r="E62" s="49"/>
      <c r="G62" s="160"/>
      <c r="H62" s="370"/>
      <c r="I62" s="322"/>
      <c r="J62" s="322"/>
      <c r="K62" s="358"/>
      <c r="L62" s="359"/>
      <c r="M62" s="359"/>
      <c r="N62" s="359"/>
      <c r="O62" s="342"/>
      <c r="P62" s="356"/>
      <c r="Q62" s="343"/>
      <c r="R62" s="325"/>
    </row>
    <row r="63" spans="4:18" ht="12.75">
      <c r="D63" s="160"/>
      <c r="E63" s="49"/>
      <c r="G63" s="160"/>
      <c r="H63" s="327"/>
      <c r="I63" s="322"/>
      <c r="J63" s="322"/>
      <c r="K63" s="358"/>
      <c r="L63" s="359"/>
      <c r="M63" s="359"/>
      <c r="N63" s="358"/>
      <c r="O63" s="342"/>
      <c r="P63" s="356"/>
      <c r="Q63" s="343"/>
      <c r="R63" s="325"/>
    </row>
    <row r="64" spans="1:18" ht="12.75">
      <c r="A64" s="165" t="s">
        <v>352</v>
      </c>
      <c r="D64" s="170" t="s">
        <v>185</v>
      </c>
      <c r="E64" s="44" t="str">
        <f>$E$11</f>
        <v>Mogelijke antwoorden</v>
      </c>
      <c r="G64" s="237" t="s">
        <v>226</v>
      </c>
      <c r="H64" s="330" t="s">
        <v>186</v>
      </c>
      <c r="I64" s="322"/>
      <c r="J64" s="322"/>
      <c r="K64" s="324"/>
      <c r="L64" s="324"/>
      <c r="M64" s="324"/>
      <c r="N64" s="324"/>
      <c r="O64" s="324"/>
      <c r="P64" s="322"/>
      <c r="Q64" s="322"/>
      <c r="R64" s="325"/>
    </row>
    <row r="65" spans="1:18" ht="26.25">
      <c r="A65" s="278" t="s">
        <v>278</v>
      </c>
      <c r="B65" s="279"/>
      <c r="C65" s="280" t="s">
        <v>53</v>
      </c>
      <c r="D65" s="281">
        <f>D36</f>
        <v>0.25</v>
      </c>
      <c r="E65" s="279"/>
      <c r="F65" s="279"/>
      <c r="G65" s="282"/>
      <c r="H65" s="371">
        <f>H36</f>
        <v>1</v>
      </c>
      <c r="I65" s="332"/>
      <c r="J65" s="372"/>
      <c r="K65" s="324"/>
      <c r="L65" s="324"/>
      <c r="M65" s="324"/>
      <c r="N65" s="324"/>
      <c r="O65" s="324"/>
      <c r="P65" s="322"/>
      <c r="Q65" s="322"/>
      <c r="R65" s="325"/>
    </row>
    <row r="66" spans="1:18" ht="12.75">
      <c r="A66" s="239" t="s">
        <v>86</v>
      </c>
      <c r="B66" s="240"/>
      <c r="C66" s="241" t="s">
        <v>488</v>
      </c>
      <c r="D66" s="273">
        <v>0.02</v>
      </c>
      <c r="E66" s="246" t="s">
        <v>227</v>
      </c>
      <c r="F66" s="240" t="s">
        <v>228</v>
      </c>
      <c r="G66" s="269"/>
      <c r="H66" s="331">
        <f>IF(G66=E66,D66,1)</f>
        <v>1</v>
      </c>
      <c r="I66" s="332"/>
      <c r="J66" s="332"/>
      <c r="K66" s="324"/>
      <c r="L66" s="324"/>
      <c r="M66" s="324"/>
      <c r="N66" s="324"/>
      <c r="O66" s="324"/>
      <c r="P66" s="322"/>
      <c r="Q66" s="322"/>
      <c r="R66" s="325"/>
    </row>
    <row r="67" spans="1:18" ht="26.25">
      <c r="A67" s="283" t="s">
        <v>504</v>
      </c>
      <c r="B67" s="284"/>
      <c r="C67" s="285" t="s">
        <v>501</v>
      </c>
      <c r="D67" s="286">
        <f>D39</f>
        <v>0</v>
      </c>
      <c r="E67" s="285"/>
      <c r="F67" s="285"/>
      <c r="G67" s="283"/>
      <c r="H67" s="373">
        <f>H39</f>
        <v>1</v>
      </c>
      <c r="I67" s="332"/>
      <c r="J67" s="322"/>
      <c r="K67" s="322"/>
      <c r="L67" s="322"/>
      <c r="M67" s="322"/>
      <c r="N67" s="324"/>
      <c r="O67" s="324"/>
      <c r="P67" s="322"/>
      <c r="Q67" s="322"/>
      <c r="R67" s="325"/>
    </row>
    <row r="68" spans="1:18" ht="26.25">
      <c r="A68" s="287" t="s">
        <v>399</v>
      </c>
      <c r="B68" s="279"/>
      <c r="C68" s="280" t="s">
        <v>112</v>
      </c>
      <c r="D68" s="288"/>
      <c r="E68" s="284"/>
      <c r="F68" s="279"/>
      <c r="G68" s="282"/>
      <c r="H68" s="371">
        <f>H45</f>
        <v>1</v>
      </c>
      <c r="I68" s="322"/>
      <c r="J68" s="322"/>
      <c r="K68" s="322"/>
      <c r="L68" s="322"/>
      <c r="M68" s="322"/>
      <c r="N68" s="324"/>
      <c r="O68" s="324"/>
      <c r="P68" s="322"/>
      <c r="Q68" s="322"/>
      <c r="R68" s="325"/>
    </row>
    <row r="69" spans="1:18" ht="12.75">
      <c r="A69" s="278" t="s">
        <v>276</v>
      </c>
      <c r="B69" s="279"/>
      <c r="C69" s="289" t="s">
        <v>77</v>
      </c>
      <c r="D69" s="281">
        <f>D55</f>
        <v>0.5</v>
      </c>
      <c r="E69" s="284"/>
      <c r="F69" s="279"/>
      <c r="G69" s="282"/>
      <c r="H69" s="371">
        <f>H55</f>
        <v>1</v>
      </c>
      <c r="I69" s="332"/>
      <c r="J69" s="322"/>
      <c r="K69" s="322"/>
      <c r="L69" s="322"/>
      <c r="M69" s="322"/>
      <c r="N69" s="324"/>
      <c r="O69" s="324"/>
      <c r="P69" s="322"/>
      <c r="Q69" s="322"/>
      <c r="R69" s="325"/>
    </row>
    <row r="70" spans="1:18" ht="12.75">
      <c r="A70" s="278" t="s">
        <v>277</v>
      </c>
      <c r="B70" s="279"/>
      <c r="C70" s="289" t="s">
        <v>221</v>
      </c>
      <c r="D70" s="281">
        <f>D56</f>
        <v>0.5</v>
      </c>
      <c r="E70" s="284"/>
      <c r="F70" s="279"/>
      <c r="G70" s="282"/>
      <c r="H70" s="371">
        <f>H56</f>
        <v>1</v>
      </c>
      <c r="I70" s="332"/>
      <c r="J70" s="322"/>
      <c r="K70" s="322"/>
      <c r="L70" s="322"/>
      <c r="M70" s="322"/>
      <c r="N70" s="324"/>
      <c r="O70" s="324"/>
      <c r="P70" s="322"/>
      <c r="Q70" s="322"/>
      <c r="R70" s="325"/>
    </row>
    <row r="71" spans="7:18" ht="12.75" customHeight="1" hidden="1">
      <c r="G71" s="160"/>
      <c r="H71" s="327"/>
      <c r="I71" s="332"/>
      <c r="J71" s="322"/>
      <c r="K71" s="324"/>
      <c r="L71" s="324"/>
      <c r="M71" s="324"/>
      <c r="N71" s="324"/>
      <c r="O71" s="324"/>
      <c r="P71" s="322"/>
      <c r="Q71" s="322"/>
      <c r="R71" s="325"/>
    </row>
    <row r="72" spans="1:18" ht="12.75" customHeight="1" hidden="1">
      <c r="A72" s="167" t="s">
        <v>354</v>
      </c>
      <c r="B72" s="49"/>
      <c r="C72" s="59"/>
      <c r="D72" s="160"/>
      <c r="E72" s="49"/>
      <c r="F72" s="49"/>
      <c r="G72" s="173">
        <f>PRODUCT(H65:H70)</f>
        <v>1</v>
      </c>
      <c r="H72" s="324"/>
      <c r="I72" s="332"/>
      <c r="J72" s="322"/>
      <c r="K72" s="324"/>
      <c r="L72" s="324"/>
      <c r="M72" s="324"/>
      <c r="N72" s="324"/>
      <c r="O72" s="324"/>
      <c r="P72" s="322"/>
      <c r="Q72" s="322"/>
      <c r="R72" s="325"/>
    </row>
    <row r="73" spans="1:18" ht="12.75">
      <c r="A73" s="168" t="s">
        <v>355</v>
      </c>
      <c r="B73" s="161"/>
      <c r="C73" s="162"/>
      <c r="D73" s="163"/>
      <c r="E73" s="161"/>
      <c r="F73" s="161"/>
      <c r="G73" s="169">
        <f>D62*PRODUCT(H65,H66,H67,H68,H69,H70)</f>
        <v>250</v>
      </c>
      <c r="H73" s="324"/>
      <c r="I73" s="332"/>
      <c r="J73" s="322"/>
      <c r="K73" s="324"/>
      <c r="L73" s="324"/>
      <c r="M73" s="324"/>
      <c r="N73" s="324"/>
      <c r="O73" s="324"/>
      <c r="P73" s="322"/>
      <c r="Q73" s="322"/>
      <c r="R73" s="325"/>
    </row>
    <row r="74" spans="8:18" ht="12.75">
      <c r="H74" s="324"/>
      <c r="I74" s="332"/>
      <c r="J74" s="322"/>
      <c r="K74" s="324"/>
      <c r="L74" s="324"/>
      <c r="M74" s="324"/>
      <c r="N74" s="324"/>
      <c r="O74" s="324"/>
      <c r="P74" s="322"/>
      <c r="Q74" s="322"/>
      <c r="R74" s="325"/>
    </row>
    <row r="75" spans="1:18" ht="12.75">
      <c r="A75" s="422" t="s">
        <v>536</v>
      </c>
      <c r="B75" s="422"/>
      <c r="C75" s="422"/>
      <c r="D75" s="170" t="str">
        <f>$D$8</f>
        <v>Kengetal risico</v>
      </c>
      <c r="F75" s="44"/>
      <c r="G75" s="272"/>
      <c r="H75" s="364"/>
      <c r="I75" s="332"/>
      <c r="J75" s="328"/>
      <c r="K75" s="324"/>
      <c r="L75" s="324"/>
      <c r="M75" s="324"/>
      <c r="N75" s="324"/>
      <c r="O75" s="324"/>
      <c r="P75" s="322"/>
      <c r="Q75" s="322"/>
      <c r="R75" s="325"/>
    </row>
    <row r="76" spans="3:18" ht="66">
      <c r="C76" s="59" t="s">
        <v>239</v>
      </c>
      <c r="D76" s="160">
        <v>250</v>
      </c>
      <c r="E76" s="49"/>
      <c r="G76" s="160"/>
      <c r="H76" s="370"/>
      <c r="I76" s="332"/>
      <c r="J76" s="322"/>
      <c r="K76" s="324"/>
      <c r="L76" s="324"/>
      <c r="M76" s="324"/>
      <c r="N76" s="324"/>
      <c r="O76" s="324"/>
      <c r="P76" s="322"/>
      <c r="Q76" s="322"/>
      <c r="R76" s="325"/>
    </row>
    <row r="77" spans="4:18" ht="12.75">
      <c r="D77" s="160"/>
      <c r="E77" s="49"/>
      <c r="G77" s="160"/>
      <c r="H77" s="327"/>
      <c r="I77" s="332"/>
      <c r="J77" s="322"/>
      <c r="K77" s="324"/>
      <c r="L77" s="324"/>
      <c r="M77" s="324"/>
      <c r="N77" s="324"/>
      <c r="O77" s="324"/>
      <c r="P77" s="322"/>
      <c r="Q77" s="322"/>
      <c r="R77" s="325"/>
    </row>
    <row r="78" spans="1:18" ht="12.75">
      <c r="A78" s="165" t="s">
        <v>352</v>
      </c>
      <c r="D78" s="170" t="s">
        <v>185</v>
      </c>
      <c r="E78" s="44" t="str">
        <f>$E$11</f>
        <v>Mogelijke antwoorden</v>
      </c>
      <c r="G78" s="237" t="s">
        <v>226</v>
      </c>
      <c r="H78" s="330" t="s">
        <v>186</v>
      </c>
      <c r="I78" s="332"/>
      <c r="J78" s="322"/>
      <c r="K78" s="333" t="s">
        <v>290</v>
      </c>
      <c r="L78" s="324"/>
      <c r="M78" s="324"/>
      <c r="N78" s="324"/>
      <c r="O78" s="324"/>
      <c r="P78" s="322"/>
      <c r="Q78" s="322"/>
      <c r="R78" s="325"/>
    </row>
    <row r="79" spans="1:18" ht="26.25">
      <c r="A79" s="278" t="s">
        <v>278</v>
      </c>
      <c r="B79" s="279"/>
      <c r="C79" s="280" t="s">
        <v>53</v>
      </c>
      <c r="D79" s="290">
        <f>D65</f>
        <v>0.25</v>
      </c>
      <c r="E79" s="280"/>
      <c r="F79" s="280"/>
      <c r="G79" s="283"/>
      <c r="H79" s="374">
        <f>H36</f>
        <v>1</v>
      </c>
      <c r="I79" s="332"/>
      <c r="J79" s="372"/>
      <c r="K79" s="324"/>
      <c r="L79" s="324"/>
      <c r="M79" s="324"/>
      <c r="N79" s="324"/>
      <c r="O79" s="324"/>
      <c r="P79" s="322"/>
      <c r="Q79" s="322"/>
      <c r="R79" s="325"/>
    </row>
    <row r="80" spans="1:18" ht="12.75">
      <c r="A80" s="239"/>
      <c r="B80" s="240"/>
      <c r="C80" s="241" t="s">
        <v>94</v>
      </c>
      <c r="D80" s="268"/>
      <c r="E80" s="246"/>
      <c r="F80" s="240"/>
      <c r="G80" s="277"/>
      <c r="H80" s="331">
        <f>IF(OR(P81:P84),Q80,O80)</f>
        <v>1</v>
      </c>
      <c r="I80" s="332"/>
      <c r="J80" s="332"/>
      <c r="K80" s="335" t="str">
        <f>A81</f>
        <v>PM 15</v>
      </c>
      <c r="L80" s="336" t="str">
        <f>A82</f>
        <v>PM 16</v>
      </c>
      <c r="M80" s="336"/>
      <c r="N80" s="336"/>
      <c r="O80" s="337">
        <v>1</v>
      </c>
      <c r="P80" s="338"/>
      <c r="Q80" s="339">
        <f>SUM(Q81:Q90)</f>
        <v>1</v>
      </c>
      <c r="R80" s="375"/>
    </row>
    <row r="81" spans="1:18" ht="12.75">
      <c r="A81" s="239" t="s">
        <v>87</v>
      </c>
      <c r="B81" s="240" t="s">
        <v>267</v>
      </c>
      <c r="C81" s="241" t="s">
        <v>489</v>
      </c>
      <c r="D81" s="271" t="s">
        <v>362</v>
      </c>
      <c r="E81" s="246" t="s">
        <v>227</v>
      </c>
      <c r="F81" s="240" t="s">
        <v>228</v>
      </c>
      <c r="G81" s="269"/>
      <c r="H81" s="327"/>
      <c r="I81" s="322"/>
      <c r="J81" s="322"/>
      <c r="K81" s="340" t="s">
        <v>227</v>
      </c>
      <c r="L81" s="341" t="s">
        <v>227</v>
      </c>
      <c r="M81" s="341"/>
      <c r="N81" s="341"/>
      <c r="O81" s="342">
        <v>0.1</v>
      </c>
      <c r="P81" s="343" t="b">
        <f>AND(G81=E81,G82=E82)</f>
        <v>0</v>
      </c>
      <c r="Q81" s="344">
        <f>P81*O81</f>
        <v>0</v>
      </c>
      <c r="R81" s="375"/>
    </row>
    <row r="82" spans="1:18" ht="26.25">
      <c r="A82" s="239" t="s">
        <v>88</v>
      </c>
      <c r="B82" s="240" t="s">
        <v>268</v>
      </c>
      <c r="C82" s="241" t="s">
        <v>92</v>
      </c>
      <c r="D82" s="271" t="s">
        <v>283</v>
      </c>
      <c r="E82" s="246" t="s">
        <v>227</v>
      </c>
      <c r="F82" s="240" t="s">
        <v>228</v>
      </c>
      <c r="G82" s="269"/>
      <c r="H82" s="331"/>
      <c r="I82" s="332"/>
      <c r="J82" s="332"/>
      <c r="K82" s="346" t="s">
        <v>227</v>
      </c>
      <c r="L82" s="347" t="s">
        <v>472</v>
      </c>
      <c r="M82" s="348"/>
      <c r="N82" s="348"/>
      <c r="O82" s="349">
        <v>0.2</v>
      </c>
      <c r="P82" s="350" t="b">
        <f>AND(G81=E81,IF(G82=F$12,TRUE,IF(G82=G$9,TRUE,FALSE)))</f>
        <v>0</v>
      </c>
      <c r="Q82" s="351">
        <f>P82*O82</f>
        <v>0</v>
      </c>
      <c r="R82" s="375"/>
    </row>
    <row r="83" spans="1:18" ht="12.75" customHeight="1" hidden="1">
      <c r="A83" s="239"/>
      <c r="B83" s="240"/>
      <c r="C83" s="241"/>
      <c r="D83" s="268"/>
      <c r="E83" s="246"/>
      <c r="F83" s="240"/>
      <c r="G83" s="313"/>
      <c r="H83" s="331"/>
      <c r="I83" s="332"/>
      <c r="J83" s="332"/>
      <c r="K83" s="352" t="s">
        <v>472</v>
      </c>
      <c r="L83" s="341" t="s">
        <v>227</v>
      </c>
      <c r="M83" s="341"/>
      <c r="N83" s="341"/>
      <c r="O83" s="342">
        <v>0.1</v>
      </c>
      <c r="P83" s="343" t="b">
        <f>AND(IF(G81=F$12,TRUE,IF(G81=G$9,TRUE,FALSE)),G82=E82)</f>
        <v>0</v>
      </c>
      <c r="Q83" s="344">
        <f>P83*O83</f>
        <v>0</v>
      </c>
      <c r="R83" s="375"/>
    </row>
    <row r="84" spans="1:18" ht="12.75" customHeight="1" hidden="1">
      <c r="A84" s="239"/>
      <c r="B84" s="240"/>
      <c r="C84" s="241"/>
      <c r="D84" s="268"/>
      <c r="E84" s="246"/>
      <c r="F84" s="240"/>
      <c r="G84" s="313"/>
      <c r="H84" s="331"/>
      <c r="I84" s="332"/>
      <c r="J84" s="332"/>
      <c r="K84" s="376" t="s">
        <v>472</v>
      </c>
      <c r="L84" s="347" t="s">
        <v>472</v>
      </c>
      <c r="M84" s="348"/>
      <c r="N84" s="348"/>
      <c r="O84" s="349">
        <v>1</v>
      </c>
      <c r="P84" s="350" t="b">
        <f>AND(IF(G81=F$12,TRUE,IF(G81=G$9,TRUE,FALSE)),IF(G82=F$12,TRUE,IF(G82=G$9,TRUE,FALSE)))</f>
        <v>1</v>
      </c>
      <c r="Q84" s="351">
        <f>P84*O84</f>
        <v>1</v>
      </c>
      <c r="R84" s="375"/>
    </row>
    <row r="85" spans="1:18" ht="26.25">
      <c r="A85" s="239" t="s">
        <v>89</v>
      </c>
      <c r="B85" s="240"/>
      <c r="C85" s="241" t="s">
        <v>273</v>
      </c>
      <c r="D85" s="273">
        <v>0.02</v>
      </c>
      <c r="E85" s="246" t="s">
        <v>227</v>
      </c>
      <c r="F85" s="240" t="s">
        <v>228</v>
      </c>
      <c r="G85" s="269"/>
      <c r="H85" s="331">
        <f>IF(G85=E85,D85,1)</f>
        <v>1</v>
      </c>
      <c r="I85" s="332"/>
      <c r="J85" s="332"/>
      <c r="K85" s="332"/>
      <c r="L85" s="332"/>
      <c r="M85" s="332"/>
      <c r="N85" s="332"/>
      <c r="O85" s="332"/>
      <c r="P85" s="332"/>
      <c r="Q85" s="332"/>
      <c r="R85" s="375"/>
    </row>
    <row r="86" spans="1:18" s="95" customFormat="1" ht="26.25">
      <c r="A86" s="283" t="s">
        <v>504</v>
      </c>
      <c r="B86" s="291"/>
      <c r="C86" s="292" t="s">
        <v>501</v>
      </c>
      <c r="D86" s="293"/>
      <c r="E86" s="294"/>
      <c r="F86" s="291"/>
      <c r="G86" s="295"/>
      <c r="H86" s="321">
        <f>H39</f>
        <v>1</v>
      </c>
      <c r="I86" s="332"/>
      <c r="J86" s="367"/>
      <c r="K86" s="367"/>
      <c r="L86" s="367"/>
      <c r="M86" s="367"/>
      <c r="N86" s="367"/>
      <c r="O86" s="367"/>
      <c r="P86" s="367"/>
      <c r="Q86" s="367"/>
      <c r="R86" s="366"/>
    </row>
    <row r="87" spans="1:18" ht="26.25">
      <c r="A87" s="287" t="s">
        <v>399</v>
      </c>
      <c r="B87" s="279"/>
      <c r="C87" s="280" t="s">
        <v>112</v>
      </c>
      <c r="D87" s="288"/>
      <c r="E87" s="284"/>
      <c r="F87" s="279"/>
      <c r="G87" s="282"/>
      <c r="H87" s="331">
        <f>H45</f>
        <v>1</v>
      </c>
      <c r="I87" s="377"/>
      <c r="J87" s="378"/>
      <c r="K87" s="378"/>
      <c r="L87" s="378"/>
      <c r="M87" s="378"/>
      <c r="N87" s="378"/>
      <c r="O87" s="378"/>
      <c r="P87" s="378"/>
      <c r="Q87" s="378"/>
      <c r="R87" s="379"/>
    </row>
    <row r="88" spans="1:18" ht="12.75">
      <c r="A88" s="278" t="s">
        <v>276</v>
      </c>
      <c r="B88" s="279"/>
      <c r="C88" s="289" t="s">
        <v>77</v>
      </c>
      <c r="D88" s="281">
        <f>D55</f>
        <v>0.5</v>
      </c>
      <c r="E88" s="284"/>
      <c r="F88" s="279"/>
      <c r="G88" s="282"/>
      <c r="H88" s="331">
        <f>H55</f>
        <v>1</v>
      </c>
      <c r="I88" s="372"/>
      <c r="J88" s="378"/>
      <c r="K88" s="380"/>
      <c r="L88" s="380"/>
      <c r="M88" s="372"/>
      <c r="N88" s="324"/>
      <c r="O88" s="324"/>
      <c r="P88" s="322"/>
      <c r="Q88" s="322"/>
      <c r="R88" s="325"/>
    </row>
    <row r="89" spans="1:18" ht="12.75">
      <c r="A89" s="278" t="s">
        <v>277</v>
      </c>
      <c r="B89" s="279"/>
      <c r="C89" s="289" t="s">
        <v>221</v>
      </c>
      <c r="D89" s="281">
        <f>D56</f>
        <v>0.5</v>
      </c>
      <c r="E89" s="284"/>
      <c r="F89" s="279"/>
      <c r="G89" s="282"/>
      <c r="H89" s="371">
        <f>H56</f>
        <v>1</v>
      </c>
      <c r="I89" s="372"/>
      <c r="J89" s="378"/>
      <c r="K89" s="380"/>
      <c r="L89" s="380"/>
      <c r="M89" s="372"/>
      <c r="N89" s="324"/>
      <c r="O89" s="324"/>
      <c r="P89" s="322"/>
      <c r="Q89" s="322"/>
      <c r="R89" s="325"/>
    </row>
    <row r="90" spans="7:18" ht="12.75" customHeight="1" hidden="1">
      <c r="G90" s="160"/>
      <c r="H90" s="327"/>
      <c r="I90" s="322"/>
      <c r="J90" s="322"/>
      <c r="K90" s="324"/>
      <c r="L90" s="324"/>
      <c r="M90" s="324"/>
      <c r="N90" s="324"/>
      <c r="O90" s="324"/>
      <c r="P90" s="322"/>
      <c r="Q90" s="322"/>
      <c r="R90" s="325"/>
    </row>
    <row r="91" spans="1:18" ht="12.75" customHeight="1" hidden="1">
      <c r="A91" s="167" t="s">
        <v>354</v>
      </c>
      <c r="B91" s="49"/>
      <c r="C91" s="59"/>
      <c r="D91" s="160"/>
      <c r="E91" s="49"/>
      <c r="F91" s="49"/>
      <c r="G91" s="173">
        <f>PRODUCT(H79:H89)</f>
        <v>1</v>
      </c>
      <c r="H91" s="324"/>
      <c r="I91" s="322"/>
      <c r="J91" s="322"/>
      <c r="K91" s="324"/>
      <c r="L91" s="324"/>
      <c r="M91" s="324"/>
      <c r="N91" s="324"/>
      <c r="O91" s="324"/>
      <c r="P91" s="322"/>
      <c r="Q91" s="322"/>
      <c r="R91" s="325"/>
    </row>
    <row r="92" spans="1:18" ht="12.75">
      <c r="A92" s="168" t="s">
        <v>355</v>
      </c>
      <c r="B92" s="161"/>
      <c r="C92" s="162"/>
      <c r="D92" s="163"/>
      <c r="E92" s="161"/>
      <c r="F92" s="161"/>
      <c r="G92" s="421">
        <f>D76*PRODUCT(H79,H80,H85,H86,H87,H88,H89)</f>
        <v>250</v>
      </c>
      <c r="H92" s="324"/>
      <c r="I92" s="322"/>
      <c r="J92" s="322"/>
      <c r="K92" s="324"/>
      <c r="L92" s="324"/>
      <c r="M92" s="324"/>
      <c r="N92" s="324"/>
      <c r="O92" s="324"/>
      <c r="P92" s="322"/>
      <c r="Q92" s="322"/>
      <c r="R92" s="325"/>
    </row>
    <row r="93" spans="8:18" ht="12.75">
      <c r="H93" s="324"/>
      <c r="I93" s="322"/>
      <c r="J93" s="322"/>
      <c r="K93" s="324"/>
      <c r="L93" s="324"/>
      <c r="M93" s="324"/>
      <c r="N93" s="324"/>
      <c r="O93" s="324"/>
      <c r="P93" s="322"/>
      <c r="Q93" s="322"/>
      <c r="R93" s="325"/>
    </row>
    <row r="94" spans="1:18" ht="12.75">
      <c r="A94" s="422" t="s">
        <v>537</v>
      </c>
      <c r="B94" s="422"/>
      <c r="C94" s="422"/>
      <c r="D94" s="170" t="str">
        <f>$D$8</f>
        <v>Kengetal risico</v>
      </c>
      <c r="F94" s="44"/>
      <c r="G94" s="272"/>
      <c r="H94" s="364"/>
      <c r="I94" s="328"/>
      <c r="J94" s="328"/>
      <c r="K94" s="324"/>
      <c r="L94" s="324"/>
      <c r="M94" s="324"/>
      <c r="N94" s="324"/>
      <c r="O94" s="324"/>
      <c r="P94" s="322"/>
      <c r="Q94" s="322"/>
      <c r="R94" s="325"/>
    </row>
    <row r="95" spans="3:18" ht="26.25">
      <c r="C95" s="59" t="s">
        <v>38</v>
      </c>
      <c r="D95" s="160">
        <v>250</v>
      </c>
      <c r="E95" s="49"/>
      <c r="G95" s="160"/>
      <c r="H95" s="370"/>
      <c r="I95" s="322"/>
      <c r="J95" s="322"/>
      <c r="K95" s="324"/>
      <c r="L95" s="324"/>
      <c r="M95" s="324"/>
      <c r="N95" s="324"/>
      <c r="O95" s="324"/>
      <c r="P95" s="322"/>
      <c r="Q95" s="322"/>
      <c r="R95" s="325"/>
    </row>
    <row r="96" spans="4:18" ht="12.75">
      <c r="D96" s="160"/>
      <c r="E96" s="49"/>
      <c r="G96" s="160"/>
      <c r="H96" s="327"/>
      <c r="I96" s="322"/>
      <c r="J96" s="322"/>
      <c r="K96" s="324"/>
      <c r="L96" s="324"/>
      <c r="M96" s="324"/>
      <c r="N96" s="324"/>
      <c r="O96" s="324"/>
      <c r="P96" s="322"/>
      <c r="Q96" s="322"/>
      <c r="R96" s="325"/>
    </row>
    <row r="97" spans="1:18" ht="12.75">
      <c r="A97" s="165" t="s">
        <v>352</v>
      </c>
      <c r="D97" s="170" t="s">
        <v>185</v>
      </c>
      <c r="E97" s="44" t="str">
        <f>$E$11</f>
        <v>Mogelijke antwoorden</v>
      </c>
      <c r="G97" s="237" t="s">
        <v>226</v>
      </c>
      <c r="H97" s="330" t="s">
        <v>186</v>
      </c>
      <c r="I97" s="322"/>
      <c r="J97" s="322"/>
      <c r="K97" s="324"/>
      <c r="L97" s="324"/>
      <c r="M97" s="324"/>
      <c r="N97" s="324"/>
      <c r="O97" s="324"/>
      <c r="P97" s="322"/>
      <c r="Q97" s="322"/>
      <c r="R97" s="325"/>
    </row>
    <row r="98" spans="1:18" ht="26.25">
      <c r="A98" s="278" t="s">
        <v>278</v>
      </c>
      <c r="B98" s="279"/>
      <c r="C98" s="280" t="s">
        <v>53</v>
      </c>
      <c r="D98" s="290">
        <f>D80</f>
        <v>0</v>
      </c>
      <c r="E98" s="280"/>
      <c r="F98" s="280"/>
      <c r="G98" s="283"/>
      <c r="H98" s="374">
        <f>H36</f>
        <v>1</v>
      </c>
      <c r="I98" s="372"/>
      <c r="J98" s="372"/>
      <c r="K98" s="324"/>
      <c r="L98" s="324"/>
      <c r="M98" s="324"/>
      <c r="N98" s="324"/>
      <c r="O98" s="324"/>
      <c r="P98" s="322"/>
      <c r="Q98" s="322"/>
      <c r="R98" s="325"/>
    </row>
    <row r="99" spans="1:18" ht="26.25">
      <c r="A99" s="239" t="s">
        <v>90</v>
      </c>
      <c r="B99" s="240"/>
      <c r="C99" s="241" t="s">
        <v>151</v>
      </c>
      <c r="D99" s="273">
        <v>0.5</v>
      </c>
      <c r="E99" s="246" t="s">
        <v>227</v>
      </c>
      <c r="F99" s="240" t="s">
        <v>228</v>
      </c>
      <c r="G99" s="269"/>
      <c r="H99" s="331">
        <f>IF(G99=E99,D99,1)</f>
        <v>1</v>
      </c>
      <c r="I99" s="322"/>
      <c r="J99" s="322"/>
      <c r="K99" s="324"/>
      <c r="L99" s="324"/>
      <c r="M99" s="324"/>
      <c r="N99" s="324"/>
      <c r="O99" s="324"/>
      <c r="P99" s="322"/>
      <c r="Q99" s="322"/>
      <c r="R99" s="325"/>
    </row>
    <row r="100" spans="1:18" ht="26.25">
      <c r="A100" s="239" t="s">
        <v>91</v>
      </c>
      <c r="B100" s="240"/>
      <c r="C100" s="258" t="s">
        <v>367</v>
      </c>
      <c r="D100" s="273">
        <v>0.2</v>
      </c>
      <c r="E100" s="246" t="s">
        <v>227</v>
      </c>
      <c r="F100" s="240" t="s">
        <v>228</v>
      </c>
      <c r="G100" s="269"/>
      <c r="H100" s="331">
        <f>IF(G100=E100,D100,1)</f>
        <v>1</v>
      </c>
      <c r="I100" s="322"/>
      <c r="J100" s="322"/>
      <c r="K100" s="324"/>
      <c r="L100" s="324"/>
      <c r="M100" s="324"/>
      <c r="N100" s="324"/>
      <c r="O100" s="324"/>
      <c r="P100" s="322"/>
      <c r="Q100" s="322"/>
      <c r="R100" s="325"/>
    </row>
    <row r="101" spans="1:18" ht="26.25">
      <c r="A101" s="283" t="s">
        <v>504</v>
      </c>
      <c r="B101" s="279"/>
      <c r="C101" s="280" t="s">
        <v>501</v>
      </c>
      <c r="D101" s="290">
        <f>D39</f>
        <v>0</v>
      </c>
      <c r="E101" s="296"/>
      <c r="F101" s="296"/>
      <c r="G101" s="297"/>
      <c r="H101" s="374">
        <f>H39</f>
        <v>1</v>
      </c>
      <c r="I101" s="381"/>
      <c r="J101" s="322"/>
      <c r="K101" s="324"/>
      <c r="L101" s="324"/>
      <c r="M101" s="324"/>
      <c r="N101" s="324"/>
      <c r="O101" s="324"/>
      <c r="P101" s="322"/>
      <c r="Q101" s="322"/>
      <c r="R101" s="325"/>
    </row>
    <row r="102" spans="1:18" ht="26.25">
      <c r="A102" s="287" t="s">
        <v>399</v>
      </c>
      <c r="B102" s="279"/>
      <c r="C102" s="280" t="s">
        <v>112</v>
      </c>
      <c r="D102" s="290"/>
      <c r="E102" s="296"/>
      <c r="F102" s="296"/>
      <c r="G102" s="297"/>
      <c r="H102" s="374">
        <f>H45</f>
        <v>1</v>
      </c>
      <c r="I102" s="381"/>
      <c r="J102" s="322"/>
      <c r="K102" s="324"/>
      <c r="L102" s="324"/>
      <c r="M102" s="324"/>
      <c r="N102" s="324"/>
      <c r="O102" s="324"/>
      <c r="P102" s="322"/>
      <c r="Q102" s="322"/>
      <c r="R102" s="325"/>
    </row>
    <row r="103" spans="1:18" ht="26.25">
      <c r="A103" s="278" t="s">
        <v>276</v>
      </c>
      <c r="B103" s="279"/>
      <c r="C103" s="280" t="s">
        <v>77</v>
      </c>
      <c r="D103" s="290">
        <f>D55</f>
        <v>0.5</v>
      </c>
      <c r="E103" s="296"/>
      <c r="F103" s="296"/>
      <c r="G103" s="297"/>
      <c r="H103" s="374">
        <f>H55</f>
        <v>1</v>
      </c>
      <c r="I103" s="381"/>
      <c r="J103" s="322"/>
      <c r="K103" s="324"/>
      <c r="L103" s="324"/>
      <c r="M103" s="324"/>
      <c r="N103" s="324"/>
      <c r="O103" s="324"/>
      <c r="P103" s="322"/>
      <c r="Q103" s="322"/>
      <c r="R103" s="325"/>
    </row>
    <row r="104" spans="1:18" ht="12.75">
      <c r="A104" s="278" t="s">
        <v>277</v>
      </c>
      <c r="B104" s="279"/>
      <c r="C104" s="280" t="s">
        <v>221</v>
      </c>
      <c r="D104" s="290">
        <f>D56</f>
        <v>0.5</v>
      </c>
      <c r="E104" s="296"/>
      <c r="F104" s="296"/>
      <c r="G104" s="297"/>
      <c r="H104" s="374">
        <f>H56</f>
        <v>1</v>
      </c>
      <c r="I104" s="381"/>
      <c r="J104" s="322"/>
      <c r="K104" s="324"/>
      <c r="L104" s="324"/>
      <c r="M104" s="324"/>
      <c r="N104" s="324"/>
      <c r="O104" s="324"/>
      <c r="P104" s="322"/>
      <c r="Q104" s="322"/>
      <c r="R104" s="325"/>
    </row>
    <row r="105" spans="1:18" ht="12.75" customHeight="1" hidden="1">
      <c r="A105" s="158"/>
      <c r="B105" s="61"/>
      <c r="C105" s="62"/>
      <c r="D105" s="159"/>
      <c r="E105" s="79"/>
      <c r="F105" s="79"/>
      <c r="G105" s="306"/>
      <c r="H105" s="374"/>
      <c r="I105" s="381"/>
      <c r="J105" s="322"/>
      <c r="K105" s="324"/>
      <c r="L105" s="324"/>
      <c r="M105" s="324"/>
      <c r="N105" s="324"/>
      <c r="O105" s="324"/>
      <c r="P105" s="322"/>
      <c r="Q105" s="322"/>
      <c r="R105" s="325"/>
    </row>
    <row r="106" spans="1:18" ht="12.75" customHeight="1" hidden="1">
      <c r="A106" s="167" t="s">
        <v>354</v>
      </c>
      <c r="B106" s="49"/>
      <c r="C106" s="59"/>
      <c r="D106" s="160"/>
      <c r="E106" s="49"/>
      <c r="F106" s="49"/>
      <c r="G106" s="178">
        <f>PRODUCT(H98:H104)</f>
        <v>1</v>
      </c>
      <c r="H106" s="324"/>
      <c r="I106" s="381"/>
      <c r="J106" s="322"/>
      <c r="K106" s="324"/>
      <c r="L106" s="324"/>
      <c r="M106" s="324"/>
      <c r="N106" s="324"/>
      <c r="O106" s="324"/>
      <c r="P106" s="322"/>
      <c r="Q106" s="322"/>
      <c r="R106" s="325"/>
    </row>
    <row r="107" spans="1:18" ht="12.75">
      <c r="A107" s="168" t="s">
        <v>355</v>
      </c>
      <c r="B107" s="161"/>
      <c r="C107" s="162"/>
      <c r="D107" s="163"/>
      <c r="E107" s="161"/>
      <c r="F107" s="161"/>
      <c r="G107" s="169">
        <f>D95*PRODUCT(H98,H99,H100,H101,H102,H103,H104)</f>
        <v>250</v>
      </c>
      <c r="H107" s="324"/>
      <c r="I107" s="381"/>
      <c r="J107" s="322"/>
      <c r="K107" s="324"/>
      <c r="L107" s="324"/>
      <c r="M107" s="324"/>
      <c r="N107" s="324"/>
      <c r="O107" s="324"/>
      <c r="P107" s="322"/>
      <c r="Q107" s="322"/>
      <c r="R107" s="325"/>
    </row>
    <row r="108" spans="1:18" ht="12.75">
      <c r="A108" s="61"/>
      <c r="B108" s="61"/>
      <c r="C108" s="62"/>
      <c r="D108" s="159"/>
      <c r="E108" s="79"/>
      <c r="F108" s="79"/>
      <c r="G108" s="159"/>
      <c r="H108" s="382"/>
      <c r="I108" s="381"/>
      <c r="J108" s="322"/>
      <c r="K108" s="324"/>
      <c r="L108" s="324"/>
      <c r="M108" s="324"/>
      <c r="N108" s="324"/>
      <c r="O108" s="324"/>
      <c r="P108" s="322"/>
      <c r="Q108" s="322"/>
      <c r="R108" s="325"/>
    </row>
    <row r="109" spans="1:18" ht="21">
      <c r="A109" s="166" t="s">
        <v>348</v>
      </c>
      <c r="B109" s="163"/>
      <c r="C109" s="184" t="s">
        <v>461</v>
      </c>
      <c r="D109" s="163"/>
      <c r="E109" s="161"/>
      <c r="F109" s="161"/>
      <c r="G109" s="301"/>
      <c r="H109" s="323"/>
      <c r="I109" s="322"/>
      <c r="J109" s="322"/>
      <c r="K109" s="322"/>
      <c r="L109" s="322"/>
      <c r="M109" s="322"/>
      <c r="N109" s="322"/>
      <c r="O109" s="322"/>
      <c r="P109" s="322"/>
      <c r="Q109" s="322"/>
      <c r="R109" s="325"/>
    </row>
    <row r="110" spans="4:18" ht="12.75">
      <c r="D110" s="160"/>
      <c r="E110" s="49"/>
      <c r="H110" s="324"/>
      <c r="I110" s="322"/>
      <c r="J110" s="322"/>
      <c r="K110" s="324"/>
      <c r="L110" s="324"/>
      <c r="M110" s="324"/>
      <c r="N110" s="324"/>
      <c r="O110" s="324"/>
      <c r="P110" s="322"/>
      <c r="Q110" s="322"/>
      <c r="R110" s="325"/>
    </row>
    <row r="111" spans="1:18" ht="12.75">
      <c r="A111" s="422" t="s">
        <v>538</v>
      </c>
      <c r="B111" s="422"/>
      <c r="C111" s="422"/>
      <c r="D111" s="170" t="s">
        <v>184</v>
      </c>
      <c r="H111" s="330" t="s">
        <v>186</v>
      </c>
      <c r="I111" s="328"/>
      <c r="J111" s="328"/>
      <c r="K111" s="324"/>
      <c r="L111" s="324"/>
      <c r="M111" s="324"/>
      <c r="N111" s="324"/>
      <c r="O111" s="324"/>
      <c r="P111" s="322"/>
      <c r="Q111" s="322"/>
      <c r="R111" s="325"/>
    </row>
    <row r="112" spans="1:18" ht="92.25">
      <c r="A112" s="97" t="s">
        <v>82</v>
      </c>
      <c r="C112" s="59" t="s">
        <v>243</v>
      </c>
      <c r="D112" s="160">
        <v>50</v>
      </c>
      <c r="E112" s="49"/>
      <c r="G112" s="160"/>
      <c r="H112" s="370"/>
      <c r="I112" s="322"/>
      <c r="J112" s="322"/>
      <c r="K112" s="324"/>
      <c r="L112" s="324"/>
      <c r="M112" s="324"/>
      <c r="N112" s="324"/>
      <c r="O112" s="324"/>
      <c r="P112" s="322"/>
      <c r="Q112" s="322"/>
      <c r="R112" s="325"/>
    </row>
    <row r="113" spans="7:18" ht="12.75">
      <c r="G113" s="160"/>
      <c r="H113" s="331"/>
      <c r="I113" s="322"/>
      <c r="J113" s="322"/>
      <c r="K113" s="333" t="s">
        <v>289</v>
      </c>
      <c r="L113" s="324"/>
      <c r="M113" s="324"/>
      <c r="N113" s="324"/>
      <c r="O113" s="324"/>
      <c r="P113" s="322"/>
      <c r="Q113" s="322"/>
      <c r="R113" s="325"/>
    </row>
    <row r="114" spans="1:18" ht="12.75">
      <c r="A114" s="165" t="s">
        <v>352</v>
      </c>
      <c r="D114" s="170" t="s">
        <v>185</v>
      </c>
      <c r="E114" s="48" t="s">
        <v>225</v>
      </c>
      <c r="G114" s="237" t="s">
        <v>226</v>
      </c>
      <c r="H114" s="370"/>
      <c r="I114" s="322"/>
      <c r="J114" s="322"/>
      <c r="K114" s="324"/>
      <c r="L114" s="324"/>
      <c r="M114" s="324"/>
      <c r="N114" s="324"/>
      <c r="O114" s="324"/>
      <c r="P114" s="322"/>
      <c r="Q114" s="322"/>
      <c r="R114" s="325"/>
    </row>
    <row r="115" spans="1:18" ht="26.25">
      <c r="A115" s="277" t="s">
        <v>503</v>
      </c>
      <c r="B115" s="246"/>
      <c r="C115" s="247" t="s">
        <v>156</v>
      </c>
      <c r="D115" s="314">
        <v>0.2</v>
      </c>
      <c r="E115" s="246" t="s">
        <v>70</v>
      </c>
      <c r="F115" s="246" t="s">
        <v>69</v>
      </c>
      <c r="G115" s="269"/>
      <c r="H115" s="331">
        <f>IF(G115=E115,D115,1)</f>
        <v>1</v>
      </c>
      <c r="I115" s="383"/>
      <c r="J115" s="322"/>
      <c r="K115" s="324"/>
      <c r="L115" s="324"/>
      <c r="M115" s="324"/>
      <c r="N115" s="324"/>
      <c r="O115" s="324"/>
      <c r="P115" s="322"/>
      <c r="Q115" s="322"/>
      <c r="R115" s="325"/>
    </row>
    <row r="116" spans="1:18" ht="12.75">
      <c r="A116" s="240"/>
      <c r="B116" s="240"/>
      <c r="C116" s="241"/>
      <c r="D116" s="315"/>
      <c r="E116" s="240"/>
      <c r="F116" s="240"/>
      <c r="G116" s="277"/>
      <c r="H116" s="331">
        <f>IF(OR(P117:P124),Q116,O116)</f>
        <v>1</v>
      </c>
      <c r="I116" s="322"/>
      <c r="J116" s="322"/>
      <c r="K116" s="384" t="str">
        <f>A117</f>
        <v>PM 21</v>
      </c>
      <c r="L116" s="385" t="str">
        <f>A118</f>
        <v>PM 22</v>
      </c>
      <c r="M116" s="385" t="str">
        <f>A119</f>
        <v>PM 23</v>
      </c>
      <c r="N116" s="385"/>
      <c r="O116" s="386">
        <v>1</v>
      </c>
      <c r="P116" s="387"/>
      <c r="Q116" s="388">
        <f>SUM(Q117:Q124)</f>
        <v>1</v>
      </c>
      <c r="R116" s="325"/>
    </row>
    <row r="117" spans="1:18" ht="26.25">
      <c r="A117" s="255" t="s">
        <v>505</v>
      </c>
      <c r="B117" s="261" t="s">
        <v>267</v>
      </c>
      <c r="C117" s="264" t="s">
        <v>187</v>
      </c>
      <c r="D117" s="298" t="s">
        <v>362</v>
      </c>
      <c r="E117" s="263" t="s">
        <v>227</v>
      </c>
      <c r="F117" s="263" t="s">
        <v>228</v>
      </c>
      <c r="G117" s="299"/>
      <c r="H117" s="327"/>
      <c r="I117" s="372"/>
      <c r="J117" s="372"/>
      <c r="K117" s="384" t="s">
        <v>227</v>
      </c>
      <c r="L117" s="385" t="s">
        <v>227</v>
      </c>
      <c r="M117" s="385" t="s">
        <v>472</v>
      </c>
      <c r="N117" s="385"/>
      <c r="O117" s="386">
        <v>0.01</v>
      </c>
      <c r="P117" s="387" t="b">
        <f>AND(G117=E117,G118=E118,IF(G119=F$12,TRUE,IF(G119=G$9,TRUE,FALSE)))</f>
        <v>0</v>
      </c>
      <c r="Q117" s="389">
        <f aca="true" t="shared" si="2" ref="Q117:Q124">P117*O117</f>
        <v>0</v>
      </c>
      <c r="R117" s="325"/>
    </row>
    <row r="118" spans="1:18" ht="12.75">
      <c r="A118" s="255" t="s">
        <v>506</v>
      </c>
      <c r="B118" s="261" t="s">
        <v>268</v>
      </c>
      <c r="C118" s="264" t="s">
        <v>405</v>
      </c>
      <c r="D118" s="271" t="s">
        <v>284</v>
      </c>
      <c r="E118" s="240" t="s">
        <v>227</v>
      </c>
      <c r="F118" s="240" t="s">
        <v>228</v>
      </c>
      <c r="G118" s="269"/>
      <c r="H118" s="331"/>
      <c r="I118" s="322"/>
      <c r="J118" s="322"/>
      <c r="K118" s="390" t="s">
        <v>227</v>
      </c>
      <c r="L118" s="391" t="s">
        <v>472</v>
      </c>
      <c r="M118" s="392" t="s">
        <v>472</v>
      </c>
      <c r="N118" s="392"/>
      <c r="O118" s="393">
        <v>0.05</v>
      </c>
      <c r="P118" s="394" t="b">
        <f>AND(G117=E117,IF(G118=F$12,TRUE,IF(G118=G$9,TRUE,FALSE)),IF(G119=F$12,TRUE,IF(G119=G$9,TRUE,FALSE)))</f>
        <v>0</v>
      </c>
      <c r="Q118" s="395">
        <f t="shared" si="2"/>
        <v>0</v>
      </c>
      <c r="R118" s="325"/>
    </row>
    <row r="119" spans="1:18" ht="12.75">
      <c r="A119" s="255" t="s">
        <v>507</v>
      </c>
      <c r="B119" s="261"/>
      <c r="C119" s="263" t="s">
        <v>466</v>
      </c>
      <c r="D119" s="239"/>
      <c r="E119" s="240" t="s">
        <v>227</v>
      </c>
      <c r="F119" s="240" t="s">
        <v>228</v>
      </c>
      <c r="G119" s="269"/>
      <c r="H119" s="327"/>
      <c r="I119" s="322"/>
      <c r="J119" s="322"/>
      <c r="K119" s="390" t="s">
        <v>472</v>
      </c>
      <c r="L119" s="392" t="s">
        <v>472</v>
      </c>
      <c r="M119" s="392" t="s">
        <v>227</v>
      </c>
      <c r="N119" s="392"/>
      <c r="O119" s="393">
        <v>0.05</v>
      </c>
      <c r="P119" s="394" t="b">
        <f>AND(IF(G117=F$12,TRUE,IF(G117=G$9,TRUE,FALSE)),IF(G118=F$12,TRUE,IF(G118=G$9,TRUE,FALSE)),G119=E119)</f>
        <v>0</v>
      </c>
      <c r="Q119" s="395">
        <f t="shared" si="2"/>
        <v>0</v>
      </c>
      <c r="R119" s="325"/>
    </row>
    <row r="120" spans="7:18" ht="12.75" customHeight="1" hidden="1">
      <c r="G120" s="160"/>
      <c r="H120" s="327"/>
      <c r="I120" s="322"/>
      <c r="J120" s="322"/>
      <c r="K120" s="396" t="s">
        <v>227</v>
      </c>
      <c r="L120" s="397" t="s">
        <v>227</v>
      </c>
      <c r="M120" s="397" t="s">
        <v>227</v>
      </c>
      <c r="N120" s="397"/>
      <c r="O120" s="386">
        <v>0.01</v>
      </c>
      <c r="P120" s="387" t="b">
        <f>AND(G117=E117,G118=E118,G119=E119)</f>
        <v>0</v>
      </c>
      <c r="Q120" s="389">
        <f t="shared" si="2"/>
        <v>0</v>
      </c>
      <c r="R120" s="325"/>
    </row>
    <row r="121" spans="1:18" ht="12.75" customHeight="1" hidden="1">
      <c r="A121" s="167" t="s">
        <v>354</v>
      </c>
      <c r="B121" s="49"/>
      <c r="C121" s="59"/>
      <c r="D121" s="160"/>
      <c r="E121" s="49"/>
      <c r="F121" s="49"/>
      <c r="G121" s="176">
        <f>PRODUCT(H113:H120)</f>
        <v>1</v>
      </c>
      <c r="H121" s="324"/>
      <c r="I121" s="322"/>
      <c r="J121" s="322"/>
      <c r="K121" s="398" t="s">
        <v>227</v>
      </c>
      <c r="L121" s="358" t="s">
        <v>472</v>
      </c>
      <c r="M121" s="359" t="s">
        <v>227</v>
      </c>
      <c r="N121" s="359"/>
      <c r="O121" s="393">
        <v>0.05</v>
      </c>
      <c r="P121" s="356" t="b">
        <f>AND(G117=E117,IF(G118=F$12,TRUE,IF(G118=G$9,TRUE,FALSE)),G119=E119)</f>
        <v>0</v>
      </c>
      <c r="Q121" s="395">
        <f t="shared" si="2"/>
        <v>0</v>
      </c>
      <c r="R121" s="325"/>
    </row>
    <row r="122" spans="1:18" ht="12.75">
      <c r="A122" s="168" t="s">
        <v>355</v>
      </c>
      <c r="B122" s="161"/>
      <c r="C122" s="162"/>
      <c r="D122" s="163"/>
      <c r="E122" s="161"/>
      <c r="F122" s="161"/>
      <c r="G122" s="169">
        <f>D112*PRODUCT(H115,H116)</f>
        <v>50</v>
      </c>
      <c r="H122" s="324"/>
      <c r="I122" s="322"/>
      <c r="J122" s="322"/>
      <c r="K122" s="357" t="s">
        <v>472</v>
      </c>
      <c r="L122" s="358" t="s">
        <v>472</v>
      </c>
      <c r="M122" s="358" t="s">
        <v>472</v>
      </c>
      <c r="N122" s="359"/>
      <c r="O122" s="393">
        <v>1</v>
      </c>
      <c r="P122" s="394" t="b">
        <f>AND(IF(G117=F$12,TRUE,IF(G117=G$9,TRUE,FALSE)),IF(G118=F$12,TRUE,IF(G118=G$9,TRUE,FALSE)),IF(G119=F$12,TRUE,IF(G119=G$9,TRUE,FALSE)))</f>
        <v>1</v>
      </c>
      <c r="Q122" s="395">
        <f t="shared" si="2"/>
        <v>1</v>
      </c>
      <c r="R122" s="325"/>
    </row>
    <row r="123" spans="8:18" ht="12.75">
      <c r="H123" s="324"/>
      <c r="I123" s="322"/>
      <c r="J123" s="322"/>
      <c r="K123" s="357" t="s">
        <v>472</v>
      </c>
      <c r="L123" s="359" t="s">
        <v>227</v>
      </c>
      <c r="M123" s="358" t="s">
        <v>472</v>
      </c>
      <c r="N123" s="359"/>
      <c r="O123" s="393">
        <v>0.01</v>
      </c>
      <c r="P123" s="356" t="b">
        <f>AND(IF(G117=F$12,TRUE,IF(G117=G$9,TRUE,FALSE)),G118=E118,IF(G119=F$12,TRUE,IF(G119=G$9,TRUE,FALSE)))</f>
        <v>0</v>
      </c>
      <c r="Q123" s="395">
        <f t="shared" si="2"/>
        <v>0</v>
      </c>
      <c r="R123" s="325"/>
    </row>
    <row r="124" spans="1:18" ht="21">
      <c r="A124" s="166" t="s">
        <v>349</v>
      </c>
      <c r="B124" s="163"/>
      <c r="C124" s="185" t="s">
        <v>462</v>
      </c>
      <c r="D124" s="163"/>
      <c r="E124" s="161"/>
      <c r="F124" s="161"/>
      <c r="G124" s="301"/>
      <c r="H124" s="323"/>
      <c r="I124" s="322"/>
      <c r="J124" s="322"/>
      <c r="K124" s="360" t="s">
        <v>472</v>
      </c>
      <c r="L124" s="361" t="s">
        <v>227</v>
      </c>
      <c r="M124" s="361" t="s">
        <v>227</v>
      </c>
      <c r="N124" s="363"/>
      <c r="O124" s="399">
        <v>0.01</v>
      </c>
      <c r="P124" s="363" t="b">
        <f>AND(IF(G117=F$12,TRUE,IF(G117=G$9,TRUE,FALSE)),G118=E118,G119=E119)</f>
        <v>0</v>
      </c>
      <c r="Q124" s="400">
        <f t="shared" si="2"/>
        <v>0</v>
      </c>
      <c r="R124" s="325"/>
    </row>
    <row r="125" spans="4:18" ht="12.75">
      <c r="D125" s="160"/>
      <c r="E125" s="49"/>
      <c r="H125" s="324"/>
      <c r="I125" s="322"/>
      <c r="J125" s="322"/>
      <c r="K125" s="324"/>
      <c r="L125" s="324"/>
      <c r="M125" s="324"/>
      <c r="N125" s="324"/>
      <c r="O125" s="324"/>
      <c r="P125" s="322"/>
      <c r="Q125" s="322"/>
      <c r="R125" s="325"/>
    </row>
    <row r="126" spans="1:18" ht="12.75">
      <c r="A126" s="422" t="s">
        <v>539</v>
      </c>
      <c r="B126" s="422"/>
      <c r="C126" s="422"/>
      <c r="D126" s="170" t="s">
        <v>184</v>
      </c>
      <c r="H126" s="330" t="s">
        <v>186</v>
      </c>
      <c r="I126" s="328"/>
      <c r="J126" s="328"/>
      <c r="K126" s="324"/>
      <c r="L126" s="324"/>
      <c r="M126" s="324"/>
      <c r="N126" s="324"/>
      <c r="O126" s="324"/>
      <c r="P126" s="322"/>
      <c r="Q126" s="322"/>
      <c r="R126" s="325"/>
    </row>
    <row r="127" spans="1:18" ht="140.25" customHeight="1">
      <c r="A127" s="97" t="s">
        <v>82</v>
      </c>
      <c r="C127" s="59" t="s">
        <v>113</v>
      </c>
      <c r="D127" s="160">
        <v>50</v>
      </c>
      <c r="E127" s="49"/>
      <c r="G127" s="160"/>
      <c r="H127" s="327"/>
      <c r="I127" s="322"/>
      <c r="J127" s="322"/>
      <c r="K127" s="324"/>
      <c r="L127" s="324"/>
      <c r="M127" s="324"/>
      <c r="N127" s="324"/>
      <c r="O127" s="324"/>
      <c r="P127" s="322"/>
      <c r="Q127" s="322"/>
      <c r="R127" s="325"/>
    </row>
    <row r="128" spans="7:18" ht="12.75">
      <c r="G128" s="160"/>
      <c r="H128" s="327"/>
      <c r="I128" s="322"/>
      <c r="J128" s="322"/>
      <c r="K128" s="324"/>
      <c r="L128" s="324"/>
      <c r="M128" s="324"/>
      <c r="N128" s="324"/>
      <c r="O128" s="324"/>
      <c r="P128" s="322"/>
      <c r="Q128" s="322"/>
      <c r="R128" s="325"/>
    </row>
    <row r="129" spans="1:18" ht="12.75">
      <c r="A129" s="165" t="s">
        <v>352</v>
      </c>
      <c r="D129" s="170" t="s">
        <v>185</v>
      </c>
      <c r="E129" s="48" t="s">
        <v>225</v>
      </c>
      <c r="G129" s="237" t="s">
        <v>226</v>
      </c>
      <c r="H129" s="331"/>
      <c r="I129" s="322"/>
      <c r="J129" s="322"/>
      <c r="K129" s="322"/>
      <c r="L129" s="322"/>
      <c r="M129" s="322"/>
      <c r="N129" s="322"/>
      <c r="O129" s="322"/>
      <c r="P129" s="322"/>
      <c r="Q129" s="322"/>
      <c r="R129" s="325"/>
    </row>
    <row r="130" spans="1:18" ht="26.25">
      <c r="A130" s="277" t="s">
        <v>503</v>
      </c>
      <c r="B130" s="246"/>
      <c r="C130" s="247" t="s">
        <v>156</v>
      </c>
      <c r="D130" s="314">
        <v>0.2</v>
      </c>
      <c r="E130" s="246" t="s">
        <v>70</v>
      </c>
      <c r="F130" s="246" t="s">
        <v>69</v>
      </c>
      <c r="G130" s="269"/>
      <c r="H130" s="331">
        <f>IF(G130=E130,D130,1)</f>
        <v>1</v>
      </c>
      <c r="I130" s="383"/>
      <c r="J130" s="322"/>
      <c r="K130" s="322"/>
      <c r="L130" s="322"/>
      <c r="M130" s="322"/>
      <c r="N130" s="322"/>
      <c r="O130" s="322"/>
      <c r="P130" s="322"/>
      <c r="Q130" s="322"/>
      <c r="R130" s="325"/>
    </row>
    <row r="131" spans="1:18" ht="12.75">
      <c r="A131" s="255" t="s">
        <v>508</v>
      </c>
      <c r="B131" s="261"/>
      <c r="C131" s="264" t="s">
        <v>188</v>
      </c>
      <c r="D131" s="300">
        <v>0</v>
      </c>
      <c r="E131" s="246" t="s">
        <v>227</v>
      </c>
      <c r="F131" s="240" t="s">
        <v>228</v>
      </c>
      <c r="G131" s="269"/>
      <c r="H131" s="331">
        <f>IF(G131=E131,D131,1)</f>
        <v>1</v>
      </c>
      <c r="I131" s="372"/>
      <c r="J131" s="322"/>
      <c r="K131" s="322"/>
      <c r="L131" s="322"/>
      <c r="M131" s="322"/>
      <c r="N131" s="322"/>
      <c r="O131" s="322"/>
      <c r="P131" s="322"/>
      <c r="Q131" s="322"/>
      <c r="R131" s="325"/>
    </row>
    <row r="132" spans="1:18" ht="12.75">
      <c r="A132" s="239"/>
      <c r="B132" s="261"/>
      <c r="C132" s="263" t="s">
        <v>464</v>
      </c>
      <c r="D132" s="239"/>
      <c r="E132" s="246"/>
      <c r="F132" s="240"/>
      <c r="G132" s="277"/>
      <c r="H132" s="331">
        <f>IF(G133=E133,D133,IF(G134=E134,D134,100%))</f>
        <v>1</v>
      </c>
      <c r="I132" s="322"/>
      <c r="J132" s="322"/>
      <c r="K132" s="322"/>
      <c r="L132" s="322"/>
      <c r="M132" s="322"/>
      <c r="N132" s="322"/>
      <c r="O132" s="322"/>
      <c r="P132" s="322"/>
      <c r="Q132" s="322"/>
      <c r="R132" s="325"/>
    </row>
    <row r="133" spans="1:18" ht="12.75">
      <c r="A133" s="255" t="s">
        <v>509</v>
      </c>
      <c r="B133" s="240" t="s">
        <v>267</v>
      </c>
      <c r="C133" s="241" t="s">
        <v>318</v>
      </c>
      <c r="D133" s="273">
        <v>0.05</v>
      </c>
      <c r="E133" s="246" t="s">
        <v>227</v>
      </c>
      <c r="F133" s="240" t="s">
        <v>228</v>
      </c>
      <c r="G133" s="269"/>
      <c r="H133" s="331"/>
      <c r="I133" s="322"/>
      <c r="J133" s="322"/>
      <c r="K133" s="322"/>
      <c r="L133" s="322"/>
      <c r="M133" s="322"/>
      <c r="N133" s="322"/>
      <c r="O133" s="322"/>
      <c r="P133" s="322"/>
      <c r="Q133" s="322"/>
      <c r="R133" s="325"/>
    </row>
    <row r="134" spans="1:18" ht="12.75">
      <c r="A134" s="255" t="s">
        <v>510</v>
      </c>
      <c r="B134" s="240" t="s">
        <v>268</v>
      </c>
      <c r="C134" s="241" t="s">
        <v>319</v>
      </c>
      <c r="D134" s="273">
        <v>0.33</v>
      </c>
      <c r="E134" s="246" t="s">
        <v>227</v>
      </c>
      <c r="F134" s="240" t="s">
        <v>228</v>
      </c>
      <c r="G134" s="269"/>
      <c r="H134" s="331"/>
      <c r="I134" s="322"/>
      <c r="J134" s="322"/>
      <c r="K134" s="322"/>
      <c r="L134" s="322"/>
      <c r="M134" s="322"/>
      <c r="N134" s="322"/>
      <c r="O134" s="322"/>
      <c r="P134" s="322"/>
      <c r="Q134" s="322"/>
      <c r="R134" s="325"/>
    </row>
    <row r="135" spans="7:18" ht="12.75" customHeight="1" hidden="1">
      <c r="G135" s="160"/>
      <c r="H135" s="327"/>
      <c r="I135" s="322"/>
      <c r="J135" s="322"/>
      <c r="K135" s="324"/>
      <c r="L135" s="324"/>
      <c r="M135" s="324"/>
      <c r="N135" s="324"/>
      <c r="O135" s="324"/>
      <c r="P135" s="322"/>
      <c r="Q135" s="322"/>
      <c r="R135" s="325"/>
    </row>
    <row r="136" spans="1:18" ht="12.75" customHeight="1" hidden="1">
      <c r="A136" s="167" t="s">
        <v>354</v>
      </c>
      <c r="B136" s="49"/>
      <c r="C136" s="59"/>
      <c r="D136" s="160"/>
      <c r="E136" s="49"/>
      <c r="F136" s="49"/>
      <c r="G136" s="176">
        <f>PRODUCT(H128:H135)</f>
        <v>1</v>
      </c>
      <c r="H136" s="324"/>
      <c r="I136" s="322"/>
      <c r="J136" s="322"/>
      <c r="K136" s="324"/>
      <c r="L136" s="324"/>
      <c r="M136" s="324"/>
      <c r="N136" s="324"/>
      <c r="O136" s="324"/>
      <c r="P136" s="322"/>
      <c r="Q136" s="322"/>
      <c r="R136" s="325"/>
    </row>
    <row r="137" spans="1:18" ht="12.75">
      <c r="A137" s="168" t="s">
        <v>355</v>
      </c>
      <c r="B137" s="161"/>
      <c r="C137" s="162"/>
      <c r="D137" s="163"/>
      <c r="E137" s="161"/>
      <c r="F137" s="161"/>
      <c r="G137" s="169">
        <f>D127*PRODUCT(H130,H131,H132)</f>
        <v>50</v>
      </c>
      <c r="H137" s="324"/>
      <c r="I137" s="322"/>
      <c r="J137" s="322"/>
      <c r="K137" s="324"/>
      <c r="L137" s="324"/>
      <c r="M137" s="324"/>
      <c r="N137" s="324"/>
      <c r="O137" s="324"/>
      <c r="P137" s="322"/>
      <c r="Q137" s="322"/>
      <c r="R137" s="325"/>
    </row>
    <row r="138" spans="8:18" ht="12.75">
      <c r="H138" s="324"/>
      <c r="I138" s="322"/>
      <c r="J138" s="322"/>
      <c r="K138" s="324"/>
      <c r="L138" s="324"/>
      <c r="M138" s="324"/>
      <c r="N138" s="324"/>
      <c r="O138" s="324"/>
      <c r="P138" s="322"/>
      <c r="Q138" s="322"/>
      <c r="R138" s="325"/>
    </row>
    <row r="139" spans="1:18" ht="21">
      <c r="A139" s="166" t="s">
        <v>350</v>
      </c>
      <c r="B139" s="163"/>
      <c r="C139" s="184" t="s">
        <v>60</v>
      </c>
      <c r="D139" s="163"/>
      <c r="E139" s="161"/>
      <c r="F139" s="161"/>
      <c r="G139" s="301"/>
      <c r="H139" s="323"/>
      <c r="I139" s="322"/>
      <c r="J139" s="322"/>
      <c r="K139" s="322"/>
      <c r="L139" s="322"/>
      <c r="M139" s="322"/>
      <c r="N139" s="322"/>
      <c r="O139" s="322"/>
      <c r="P139" s="322"/>
      <c r="Q139" s="322"/>
      <c r="R139" s="325"/>
    </row>
    <row r="140" spans="4:18" ht="12.75">
      <c r="D140" s="160"/>
      <c r="E140" s="49"/>
      <c r="H140" s="324"/>
      <c r="I140" s="322"/>
      <c r="J140" s="322"/>
      <c r="K140" s="324"/>
      <c r="L140" s="324"/>
      <c r="M140" s="324"/>
      <c r="N140" s="324"/>
      <c r="O140" s="324"/>
      <c r="P140" s="322"/>
      <c r="Q140" s="322"/>
      <c r="R140" s="325"/>
    </row>
    <row r="141" spans="1:18" ht="12.75">
      <c r="A141" s="422" t="s">
        <v>540</v>
      </c>
      <c r="B141" s="422"/>
      <c r="C141" s="422"/>
      <c r="D141" s="170" t="str">
        <f>$D$8</f>
        <v>Kengetal risico</v>
      </c>
      <c r="H141" s="330" t="s">
        <v>186</v>
      </c>
      <c r="I141" s="328"/>
      <c r="J141" s="328"/>
      <c r="K141" s="324"/>
      <c r="L141" s="324"/>
      <c r="M141" s="324"/>
      <c r="N141" s="324"/>
      <c r="O141" s="324"/>
      <c r="P141" s="322"/>
      <c r="Q141" s="322"/>
      <c r="R141" s="325"/>
    </row>
    <row r="142" spans="3:18" ht="162" customHeight="1">
      <c r="C142" s="12" t="s">
        <v>189</v>
      </c>
      <c r="D142" s="160">
        <v>500</v>
      </c>
      <c r="E142" s="49"/>
      <c r="G142" s="160"/>
      <c r="H142" s="370"/>
      <c r="I142" s="322"/>
      <c r="J142" s="322"/>
      <c r="K142" s="324"/>
      <c r="L142" s="324"/>
      <c r="M142" s="324"/>
      <c r="N142" s="324"/>
      <c r="O142" s="324"/>
      <c r="P142" s="322"/>
      <c r="Q142" s="322"/>
      <c r="R142" s="325"/>
    </row>
    <row r="143" spans="7:18" ht="12.75">
      <c r="G143" s="160"/>
      <c r="H143" s="331"/>
      <c r="I143" s="322"/>
      <c r="J143" s="322"/>
      <c r="K143" s="324"/>
      <c r="L143" s="324"/>
      <c r="M143" s="324"/>
      <c r="N143" s="324"/>
      <c r="O143" s="324"/>
      <c r="P143" s="322"/>
      <c r="Q143" s="322"/>
      <c r="R143" s="325"/>
    </row>
    <row r="144" spans="1:18" ht="12.75">
      <c r="A144" s="165" t="s">
        <v>352</v>
      </c>
      <c r="D144" s="170" t="s">
        <v>185</v>
      </c>
      <c r="E144" s="44" t="str">
        <f>$E$11</f>
        <v>Mogelijke antwoorden</v>
      </c>
      <c r="F144" s="44"/>
      <c r="G144" s="237" t="s">
        <v>226</v>
      </c>
      <c r="H144" s="331"/>
      <c r="I144" s="322"/>
      <c r="J144" s="322"/>
      <c r="K144" s="322"/>
      <c r="L144" s="322"/>
      <c r="M144" s="322"/>
      <c r="N144" s="322"/>
      <c r="O144" s="322"/>
      <c r="P144" s="322"/>
      <c r="Q144" s="322"/>
      <c r="R144" s="325"/>
    </row>
    <row r="145" spans="1:18" ht="26.25">
      <c r="A145" s="239" t="s">
        <v>512</v>
      </c>
      <c r="B145" s="240"/>
      <c r="C145" s="242" t="s">
        <v>271</v>
      </c>
      <c r="D145" s="315">
        <v>0.5</v>
      </c>
      <c r="E145" s="240" t="s">
        <v>227</v>
      </c>
      <c r="F145" s="240" t="s">
        <v>228</v>
      </c>
      <c r="G145" s="269"/>
      <c r="H145" s="331">
        <f>IF(G145=E145,D145,1)</f>
        <v>1</v>
      </c>
      <c r="I145" s="322"/>
      <c r="J145" s="322"/>
      <c r="K145" s="324"/>
      <c r="L145" s="324"/>
      <c r="M145" s="324"/>
      <c r="N145" s="324"/>
      <c r="O145" s="324"/>
      <c r="P145" s="322"/>
      <c r="Q145" s="322"/>
      <c r="R145" s="325"/>
    </row>
    <row r="146" spans="1:18" ht="26.25">
      <c r="A146" s="255" t="s">
        <v>513</v>
      </c>
      <c r="B146" s="240"/>
      <c r="C146" s="242" t="s">
        <v>147</v>
      </c>
      <c r="D146" s="273">
        <v>0.25</v>
      </c>
      <c r="E146" s="240" t="s">
        <v>227</v>
      </c>
      <c r="F146" s="240" t="s">
        <v>228</v>
      </c>
      <c r="G146" s="269"/>
      <c r="H146" s="331">
        <f>IF(G146=E146,D146,1)</f>
        <v>1</v>
      </c>
      <c r="I146" s="322"/>
      <c r="J146" s="322"/>
      <c r="K146" s="322"/>
      <c r="L146" s="322"/>
      <c r="M146" s="322"/>
      <c r="N146" s="322"/>
      <c r="O146" s="322"/>
      <c r="P146" s="322"/>
      <c r="Q146" s="322"/>
      <c r="R146" s="325"/>
    </row>
    <row r="147" spans="1:18" ht="26.25">
      <c r="A147" s="255"/>
      <c r="B147" s="261"/>
      <c r="C147" s="263" t="s">
        <v>61</v>
      </c>
      <c r="D147" s="300"/>
      <c r="E147" s="240"/>
      <c r="F147" s="240"/>
      <c r="G147" s="277"/>
      <c r="H147" s="401">
        <f>AVERAGE(K148,K151)</f>
        <v>1</v>
      </c>
      <c r="I147" s="372"/>
      <c r="J147" s="322"/>
      <c r="K147" s="322"/>
      <c r="L147" s="322"/>
      <c r="M147" s="322"/>
      <c r="N147" s="322"/>
      <c r="O147" s="322"/>
      <c r="P147" s="322"/>
      <c r="Q147" s="322"/>
      <c r="R147" s="325"/>
    </row>
    <row r="148" spans="1:18" ht="12.75">
      <c r="A148" s="255" t="s">
        <v>514</v>
      </c>
      <c r="B148" s="261" t="s">
        <v>267</v>
      </c>
      <c r="C148" s="263" t="s">
        <v>68</v>
      </c>
      <c r="D148" s="300">
        <v>0.8</v>
      </c>
      <c r="E148" s="246" t="s">
        <v>227</v>
      </c>
      <c r="F148" s="240" t="s">
        <v>228</v>
      </c>
      <c r="G148" s="269"/>
      <c r="H148" s="327"/>
      <c r="I148" s="372"/>
      <c r="J148" s="322"/>
      <c r="K148" s="402">
        <f>IF(G148=E148,D148,IF(G149=E149,D149,100%))</f>
        <v>1</v>
      </c>
      <c r="L148" s="322"/>
      <c r="M148" s="322"/>
      <c r="N148" s="322"/>
      <c r="O148" s="322"/>
      <c r="P148" s="322"/>
      <c r="Q148" s="322"/>
      <c r="R148" s="325"/>
    </row>
    <row r="149" spans="1:18" ht="12.75">
      <c r="A149" s="255" t="s">
        <v>515</v>
      </c>
      <c r="B149" s="261" t="s">
        <v>268</v>
      </c>
      <c r="C149" s="263" t="s">
        <v>71</v>
      </c>
      <c r="D149" s="300">
        <v>0.02</v>
      </c>
      <c r="E149" s="246" t="s">
        <v>227</v>
      </c>
      <c r="F149" s="240" t="s">
        <v>228</v>
      </c>
      <c r="G149" s="269"/>
      <c r="H149" s="331"/>
      <c r="I149" s="372"/>
      <c r="J149" s="322"/>
      <c r="K149" s="403"/>
      <c r="L149" s="322"/>
      <c r="M149" s="322"/>
      <c r="N149" s="322"/>
      <c r="O149" s="322"/>
      <c r="P149" s="322"/>
      <c r="Q149" s="322"/>
      <c r="R149" s="325"/>
    </row>
    <row r="150" spans="1:18" ht="12.75">
      <c r="A150" s="239"/>
      <c r="B150" s="240"/>
      <c r="C150" s="241" t="s">
        <v>248</v>
      </c>
      <c r="D150" s="239"/>
      <c r="E150" s="240"/>
      <c r="F150" s="240"/>
      <c r="G150" s="277"/>
      <c r="H150" s="331"/>
      <c r="I150" s="322"/>
      <c r="J150" s="322"/>
      <c r="K150" s="403"/>
      <c r="L150" s="322"/>
      <c r="M150" s="322"/>
      <c r="N150" s="322"/>
      <c r="O150" s="322"/>
      <c r="P150" s="322"/>
      <c r="Q150" s="322"/>
      <c r="R150" s="325"/>
    </row>
    <row r="151" spans="1:18" ht="12.75">
      <c r="A151" s="239" t="s">
        <v>516</v>
      </c>
      <c r="B151" s="261" t="s">
        <v>267</v>
      </c>
      <c r="C151" s="263" t="s">
        <v>68</v>
      </c>
      <c r="D151" s="273">
        <v>0.8</v>
      </c>
      <c r="E151" s="246" t="s">
        <v>227</v>
      </c>
      <c r="F151" s="240" t="s">
        <v>228</v>
      </c>
      <c r="G151" s="269"/>
      <c r="H151" s="331"/>
      <c r="I151" s="322"/>
      <c r="J151" s="322"/>
      <c r="K151" s="403">
        <f>IF(G151=E151,D151,IF(G152=E152,D152,100%))</f>
        <v>1</v>
      </c>
      <c r="L151" s="322"/>
      <c r="M151" s="322"/>
      <c r="N151" s="322"/>
      <c r="O151" s="322"/>
      <c r="P151" s="322"/>
      <c r="Q151" s="322"/>
      <c r="R151" s="325"/>
    </row>
    <row r="152" spans="1:18" ht="12.75">
      <c r="A152" s="239" t="s">
        <v>517</v>
      </c>
      <c r="B152" s="261" t="s">
        <v>268</v>
      </c>
      <c r="C152" s="263" t="s">
        <v>71</v>
      </c>
      <c r="D152" s="273">
        <v>0.02</v>
      </c>
      <c r="E152" s="246" t="s">
        <v>227</v>
      </c>
      <c r="F152" s="240" t="s">
        <v>228</v>
      </c>
      <c r="G152" s="269"/>
      <c r="H152" s="331"/>
      <c r="I152" s="322"/>
      <c r="J152" s="322"/>
      <c r="K152" s="404"/>
      <c r="L152" s="322"/>
      <c r="M152" s="322"/>
      <c r="N152" s="322"/>
      <c r="O152" s="322"/>
      <c r="P152" s="322"/>
      <c r="Q152" s="322"/>
      <c r="R152" s="325"/>
    </row>
    <row r="153" spans="1:18" ht="12.75">
      <c r="A153" s="239"/>
      <c r="B153" s="240"/>
      <c r="C153" s="241" t="s">
        <v>62</v>
      </c>
      <c r="D153" s="273"/>
      <c r="E153" s="240"/>
      <c r="F153" s="240"/>
      <c r="G153" s="277"/>
      <c r="H153" s="327"/>
      <c r="I153" s="322"/>
      <c r="J153" s="322"/>
      <c r="K153" s="405"/>
      <c r="L153" s="324"/>
      <c r="M153" s="324"/>
      <c r="N153" s="324"/>
      <c r="O153" s="324"/>
      <c r="P153" s="322"/>
      <c r="Q153" s="322"/>
      <c r="R153" s="325"/>
    </row>
    <row r="154" spans="1:18" ht="12.75">
      <c r="A154" s="239"/>
      <c r="B154" s="240"/>
      <c r="C154" s="242" t="s">
        <v>74</v>
      </c>
      <c r="D154" s="273"/>
      <c r="E154" s="240"/>
      <c r="F154" s="240"/>
      <c r="G154" s="277"/>
      <c r="H154" s="331">
        <f>IF(OR(P183:P190),Q182,O182)</f>
        <v>1</v>
      </c>
      <c r="I154" s="322"/>
      <c r="J154" s="322"/>
      <c r="K154" s="392"/>
      <c r="L154" s="392"/>
      <c r="M154" s="392"/>
      <c r="N154" s="392"/>
      <c r="O154" s="393"/>
      <c r="P154" s="394"/>
      <c r="Q154" s="406"/>
      <c r="R154" s="325"/>
    </row>
    <row r="155" spans="1:18" ht="12.75">
      <c r="A155" s="239" t="s">
        <v>518</v>
      </c>
      <c r="B155" s="240" t="s">
        <v>72</v>
      </c>
      <c r="C155" s="242" t="s">
        <v>75</v>
      </c>
      <c r="D155" s="271" t="s">
        <v>362</v>
      </c>
      <c r="E155" s="246" t="s">
        <v>227</v>
      </c>
      <c r="F155" s="240" t="s">
        <v>228</v>
      </c>
      <c r="G155" s="269"/>
      <c r="H155" s="327"/>
      <c r="I155" s="322"/>
      <c r="J155" s="322"/>
      <c r="K155" s="392"/>
      <c r="L155" s="392"/>
      <c r="M155" s="392"/>
      <c r="N155" s="392"/>
      <c r="O155" s="393"/>
      <c r="P155" s="394"/>
      <c r="Q155" s="407"/>
      <c r="R155" s="325"/>
    </row>
    <row r="156" spans="1:18" ht="12.75">
      <c r="A156" s="239" t="s">
        <v>519</v>
      </c>
      <c r="B156" s="240" t="s">
        <v>73</v>
      </c>
      <c r="C156" s="316" t="s">
        <v>76</v>
      </c>
      <c r="D156" s="271" t="s">
        <v>285</v>
      </c>
      <c r="E156" s="246" t="s">
        <v>227</v>
      </c>
      <c r="F156" s="240" t="s">
        <v>228</v>
      </c>
      <c r="G156" s="269"/>
      <c r="H156" s="327"/>
      <c r="I156" s="322"/>
      <c r="J156" s="322"/>
      <c r="K156" s="392"/>
      <c r="L156" s="392"/>
      <c r="M156" s="391"/>
      <c r="N156" s="392"/>
      <c r="O156" s="393"/>
      <c r="P156" s="394"/>
      <c r="Q156" s="407"/>
      <c r="R156" s="325"/>
    </row>
    <row r="157" spans="1:18" ht="39">
      <c r="A157" s="239" t="s">
        <v>520</v>
      </c>
      <c r="B157" s="240" t="s">
        <v>268</v>
      </c>
      <c r="C157" s="242" t="s">
        <v>63</v>
      </c>
      <c r="D157" s="273"/>
      <c r="E157" s="246" t="s">
        <v>227</v>
      </c>
      <c r="F157" s="240" t="s">
        <v>228</v>
      </c>
      <c r="G157" s="274"/>
      <c r="H157" s="327"/>
      <c r="I157" s="322"/>
      <c r="J157" s="322"/>
      <c r="K157" s="392"/>
      <c r="L157" s="392"/>
      <c r="M157" s="392"/>
      <c r="N157" s="392"/>
      <c r="O157" s="393"/>
      <c r="P157" s="394"/>
      <c r="Q157" s="407"/>
      <c r="R157" s="325"/>
    </row>
    <row r="158" spans="1:18" ht="12.75">
      <c r="A158" s="240"/>
      <c r="B158" s="240"/>
      <c r="C158" s="240" t="s">
        <v>64</v>
      </c>
      <c r="D158" s="239"/>
      <c r="E158" s="240"/>
      <c r="F158" s="240"/>
      <c r="G158" s="277"/>
      <c r="H158" s="327"/>
      <c r="I158" s="322"/>
      <c r="J158" s="322"/>
      <c r="K158" s="392"/>
      <c r="L158" s="392"/>
      <c r="M158" s="392"/>
      <c r="N158" s="392"/>
      <c r="O158" s="393"/>
      <c r="P158" s="394"/>
      <c r="Q158" s="407"/>
      <c r="R158" s="325"/>
    </row>
    <row r="159" spans="1:18" ht="12.75">
      <c r="A159" s="239"/>
      <c r="B159" s="240"/>
      <c r="C159" s="241" t="s">
        <v>65</v>
      </c>
      <c r="D159" s="239"/>
      <c r="E159" s="240"/>
      <c r="F159" s="240"/>
      <c r="G159" s="277"/>
      <c r="H159" s="327"/>
      <c r="I159" s="322"/>
      <c r="J159" s="322"/>
      <c r="K159" s="322"/>
      <c r="L159" s="322"/>
      <c r="M159" s="322"/>
      <c r="N159" s="322"/>
      <c r="O159" s="332"/>
      <c r="P159" s="322"/>
      <c r="Q159" s="322"/>
      <c r="R159" s="325"/>
    </row>
    <row r="160" spans="1:18" ht="12.75">
      <c r="A160" s="239"/>
      <c r="B160" s="240"/>
      <c r="C160" s="241" t="s">
        <v>66</v>
      </c>
      <c r="D160" s="239"/>
      <c r="E160" s="240"/>
      <c r="F160" s="240"/>
      <c r="G160" s="277"/>
      <c r="H160" s="327"/>
      <c r="I160" s="322"/>
      <c r="J160" s="322"/>
      <c r="K160" s="324"/>
      <c r="L160" s="324"/>
      <c r="M160" s="324"/>
      <c r="N160" s="324"/>
      <c r="O160" s="324"/>
      <c r="P160" s="322"/>
      <c r="Q160" s="322"/>
      <c r="R160" s="325"/>
    </row>
    <row r="161" spans="1:18" ht="39">
      <c r="A161" s="240"/>
      <c r="B161" s="240"/>
      <c r="C161" s="242" t="s">
        <v>67</v>
      </c>
      <c r="D161" s="239"/>
      <c r="E161" s="240"/>
      <c r="F161" s="240"/>
      <c r="G161" s="277"/>
      <c r="H161" s="327"/>
      <c r="I161" s="322"/>
      <c r="J161" s="322"/>
      <c r="K161" s="405" t="s">
        <v>287</v>
      </c>
      <c r="L161" s="324"/>
      <c r="M161" s="324"/>
      <c r="N161" s="324"/>
      <c r="O161" s="324"/>
      <c r="P161" s="322"/>
      <c r="Q161" s="322"/>
      <c r="R161" s="325"/>
    </row>
    <row r="162" spans="1:18" ht="12.75">
      <c r="A162" s="240"/>
      <c r="B162" s="240"/>
      <c r="C162" s="242" t="s">
        <v>112</v>
      </c>
      <c r="D162" s="268"/>
      <c r="E162" s="246"/>
      <c r="F162" s="240"/>
      <c r="G162" s="277"/>
      <c r="H162" s="331">
        <f>IF(OR(P163:P178),Q162,O162)</f>
        <v>1</v>
      </c>
      <c r="I162" s="332"/>
      <c r="J162" s="332"/>
      <c r="K162" s="335" t="str">
        <f>A163</f>
        <v>PM 3</v>
      </c>
      <c r="L162" s="336" t="str">
        <f>A164</f>
        <v>PM 4</v>
      </c>
      <c r="M162" s="336" t="str">
        <f>A165</f>
        <v>PM 5</v>
      </c>
      <c r="N162" s="336" t="str">
        <f>A166</f>
        <v>PM 6</v>
      </c>
      <c r="O162" s="337">
        <v>1</v>
      </c>
      <c r="P162" s="338"/>
      <c r="Q162" s="339">
        <f>SUM(Q163:Q178)</f>
        <v>0</v>
      </c>
      <c r="R162" s="325"/>
    </row>
    <row r="163" spans="1:18" ht="12.75">
      <c r="A163" s="239" t="s">
        <v>358</v>
      </c>
      <c r="B163" s="317" t="s">
        <v>267</v>
      </c>
      <c r="C163" s="241" t="s">
        <v>217</v>
      </c>
      <c r="D163" s="271" t="s">
        <v>362</v>
      </c>
      <c r="E163" s="246" t="s">
        <v>227</v>
      </c>
      <c r="F163" s="240" t="s">
        <v>228</v>
      </c>
      <c r="G163" s="269"/>
      <c r="H163" s="327"/>
      <c r="I163" s="322"/>
      <c r="J163" s="322"/>
      <c r="K163" s="340" t="s">
        <v>227</v>
      </c>
      <c r="L163" s="341" t="s">
        <v>227</v>
      </c>
      <c r="M163" s="341" t="s">
        <v>472</v>
      </c>
      <c r="N163" s="341" t="s">
        <v>227</v>
      </c>
      <c r="O163" s="342">
        <v>0.02</v>
      </c>
      <c r="P163" s="343" t="b">
        <f>AND($G163=$K163,$G164=$L163,IF($G165=$F$12,TRUE,IF($G165=$G$9,TRUE,FALSE)),$G166=$N163)</f>
        <v>0</v>
      </c>
      <c r="Q163" s="344">
        <f>P163*O163</f>
        <v>0</v>
      </c>
      <c r="R163" s="325"/>
    </row>
    <row r="164" spans="1:18" ht="12.75">
      <c r="A164" s="239" t="s">
        <v>359</v>
      </c>
      <c r="B164" s="240" t="s">
        <v>268</v>
      </c>
      <c r="C164" s="241" t="s">
        <v>500</v>
      </c>
      <c r="D164" s="271" t="s">
        <v>190</v>
      </c>
      <c r="E164" s="246" t="s">
        <v>227</v>
      </c>
      <c r="F164" s="240" t="s">
        <v>228</v>
      </c>
      <c r="G164" s="269"/>
      <c r="H164" s="331"/>
      <c r="I164" s="332"/>
      <c r="J164" s="332"/>
      <c r="K164" s="340" t="s">
        <v>227</v>
      </c>
      <c r="L164" s="341" t="s">
        <v>227</v>
      </c>
      <c r="M164" s="341" t="s">
        <v>472</v>
      </c>
      <c r="N164" s="345" t="s">
        <v>472</v>
      </c>
      <c r="O164" s="342">
        <v>0.05</v>
      </c>
      <c r="P164" s="343" t="b">
        <f>AND($G163=$K164,$G164=$L164,IF($G165=$F$12,TRUE,IF($G165=$G$9,TRUE,FALSE)),IF($G166=$F12,TRUE,IF($G166=$G$9,TRUE,FALSE)))</f>
        <v>0</v>
      </c>
      <c r="Q164" s="344">
        <f aca="true" t="shared" si="3" ref="Q164:Q173">P164*O164</f>
        <v>0</v>
      </c>
      <c r="R164" s="325"/>
    </row>
    <row r="165" spans="1:18" ht="12.75">
      <c r="A165" s="239" t="s">
        <v>360</v>
      </c>
      <c r="B165" s="240" t="s">
        <v>403</v>
      </c>
      <c r="C165" s="241" t="s">
        <v>493</v>
      </c>
      <c r="D165" s="318" t="s">
        <v>191</v>
      </c>
      <c r="E165" s="246" t="s">
        <v>227</v>
      </c>
      <c r="F165" s="240" t="s">
        <v>228</v>
      </c>
      <c r="G165" s="269"/>
      <c r="H165" s="331"/>
      <c r="I165" s="332"/>
      <c r="J165" s="332"/>
      <c r="K165" s="340" t="s">
        <v>227</v>
      </c>
      <c r="L165" s="345" t="s">
        <v>472</v>
      </c>
      <c r="M165" s="341" t="s">
        <v>472</v>
      </c>
      <c r="N165" s="341" t="s">
        <v>227</v>
      </c>
      <c r="O165" s="342">
        <v>0.5</v>
      </c>
      <c r="P165" s="343" t="b">
        <f>AND($G163=$K165,IF($G164=$F$12,TRUE,IF($G164=$G$9,TRUE,FALSE)),IF($G165=$F$12,TRUE,IF($G165=$G$9,TRUE,FALSE)),$G166=$N165)</f>
        <v>0</v>
      </c>
      <c r="Q165" s="344">
        <f t="shared" si="3"/>
        <v>0</v>
      </c>
      <c r="R165" s="325"/>
    </row>
    <row r="166" spans="1:18" ht="12.75">
      <c r="A166" s="239" t="s">
        <v>275</v>
      </c>
      <c r="B166" s="240" t="s">
        <v>404</v>
      </c>
      <c r="C166" s="241" t="s">
        <v>220</v>
      </c>
      <c r="D166" s="268"/>
      <c r="E166" s="246" t="s">
        <v>227</v>
      </c>
      <c r="F166" s="240" t="s">
        <v>228</v>
      </c>
      <c r="G166" s="269"/>
      <c r="H166" s="331"/>
      <c r="I166" s="332"/>
      <c r="J166" s="332"/>
      <c r="K166" s="346" t="s">
        <v>227</v>
      </c>
      <c r="L166" s="347" t="s">
        <v>472</v>
      </c>
      <c r="M166" s="348" t="s">
        <v>472</v>
      </c>
      <c r="N166" s="347" t="s">
        <v>472</v>
      </c>
      <c r="O166" s="349">
        <v>0.66</v>
      </c>
      <c r="P166" s="350" t="b">
        <f>AND($G163=$K166,IF($G164=$F$12,TRUE,IF($G$164=$G$9,TRUE,FALSE)),IF($G165=$F$12,TRUE,IF($G165=$G$9,TRUE,FALSE)),IF($G166=$F$12,TRUE,IF($G166=$G$9,TRUE,FALSE)))</f>
        <v>0</v>
      </c>
      <c r="Q166" s="351">
        <f t="shared" si="3"/>
        <v>0</v>
      </c>
      <c r="R166" s="325"/>
    </row>
    <row r="167" spans="1:18" ht="12.75" customHeight="1" hidden="1">
      <c r="A167" s="239"/>
      <c r="B167" s="240"/>
      <c r="C167" s="241"/>
      <c r="D167" s="268"/>
      <c r="E167" s="246"/>
      <c r="F167" s="240"/>
      <c r="G167" s="277"/>
      <c r="H167" s="331"/>
      <c r="I167" s="332"/>
      <c r="J167" s="332"/>
      <c r="K167" s="340" t="s">
        <v>227</v>
      </c>
      <c r="L167" s="341" t="s">
        <v>472</v>
      </c>
      <c r="M167" s="341" t="s">
        <v>227</v>
      </c>
      <c r="N167" s="341" t="s">
        <v>227</v>
      </c>
      <c r="O167" s="342">
        <v>0.01</v>
      </c>
      <c r="P167" s="343" t="b">
        <f>AND(G163=K167,IF(G164=F$12,TRUE,IF(G164=G$9,TRUE,FALSE)),G165=M167,G166=N167)</f>
        <v>0</v>
      </c>
      <c r="Q167" s="344">
        <f t="shared" si="3"/>
        <v>0</v>
      </c>
      <c r="R167" s="325"/>
    </row>
    <row r="168" spans="1:18" ht="12.75" customHeight="1" hidden="1">
      <c r="A168" s="239"/>
      <c r="B168" s="240"/>
      <c r="C168" s="241"/>
      <c r="D168" s="268"/>
      <c r="E168" s="246"/>
      <c r="F168" s="240"/>
      <c r="G168" s="277"/>
      <c r="H168" s="331"/>
      <c r="I168" s="332"/>
      <c r="J168" s="332"/>
      <c r="K168" s="340" t="s">
        <v>227</v>
      </c>
      <c r="L168" s="341" t="s">
        <v>472</v>
      </c>
      <c r="M168" s="341" t="s">
        <v>227</v>
      </c>
      <c r="N168" s="345" t="s">
        <v>472</v>
      </c>
      <c r="O168" s="342">
        <v>0.02</v>
      </c>
      <c r="P168" s="343" t="b">
        <f>AND(G163=K168,IF(G164=F$12,TRUE,IF(G164=G$9,TRUE,FALSE)),G165=M168,IF(G166=F$12,TRUE,IF(G166=G$9,TRUE,FALSE)))</f>
        <v>0</v>
      </c>
      <c r="Q168" s="344">
        <f t="shared" si="3"/>
        <v>0</v>
      </c>
      <c r="R168" s="325"/>
    </row>
    <row r="169" spans="1:18" ht="12.75" customHeight="1" hidden="1">
      <c r="A169" s="239"/>
      <c r="B169" s="240"/>
      <c r="C169" s="241"/>
      <c r="D169" s="268"/>
      <c r="E169" s="246"/>
      <c r="F169" s="240"/>
      <c r="G169" s="277"/>
      <c r="H169" s="331"/>
      <c r="I169" s="332"/>
      <c r="J169" s="332"/>
      <c r="K169" s="352" t="s">
        <v>472</v>
      </c>
      <c r="L169" s="341" t="s">
        <v>227</v>
      </c>
      <c r="M169" s="341" t="s">
        <v>472</v>
      </c>
      <c r="N169" s="341" t="s">
        <v>472</v>
      </c>
      <c r="O169" s="342">
        <v>0.8</v>
      </c>
      <c r="P169" s="343" t="b">
        <f>AND(IF(G163=F$12,TRUE,IF(G163=G$9,TRUE,FALSE)),IF(G165=F$12,TRUE,IF(G165=G$9,TRUE,FALSE)),G164=L169,IF(G166=F$12,TRUE,IF(G166=G$9,TRUE,FALSE)))</f>
        <v>0</v>
      </c>
      <c r="Q169" s="344">
        <f t="shared" si="3"/>
        <v>0</v>
      </c>
      <c r="R169" s="325"/>
    </row>
    <row r="170" spans="1:18" ht="12.75" customHeight="1" hidden="1">
      <c r="A170" s="239"/>
      <c r="B170" s="240"/>
      <c r="C170" s="241"/>
      <c r="D170" s="268"/>
      <c r="E170" s="246"/>
      <c r="F170" s="240"/>
      <c r="G170" s="277"/>
      <c r="H170" s="331"/>
      <c r="I170" s="332"/>
      <c r="J170" s="332"/>
      <c r="K170" s="352" t="s">
        <v>472</v>
      </c>
      <c r="L170" s="345" t="s">
        <v>472</v>
      </c>
      <c r="M170" s="341" t="s">
        <v>472</v>
      </c>
      <c r="N170" s="341" t="s">
        <v>472</v>
      </c>
      <c r="O170" s="342">
        <v>1</v>
      </c>
      <c r="P170" s="343" t="b">
        <f>AND(IF(G163=F$12,TRUE,IF(G163=G$9,TRUE,FALSE)),IF(G164=F$12,TRUE,IF(G164=G$9,TRUE,FALSE)),IF(G165=F$12,TRUE,IF(G165=G$9,TRUE,FALSE)),IF(G166=F$12,TRUE,IF(G166=G$9,TRUE,FALSE)),)</f>
        <v>0</v>
      </c>
      <c r="Q170" s="344">
        <f t="shared" si="3"/>
        <v>0</v>
      </c>
      <c r="R170" s="325"/>
    </row>
    <row r="171" spans="1:18" ht="12.75" customHeight="1" hidden="1">
      <c r="A171" s="239"/>
      <c r="B171" s="240"/>
      <c r="C171" s="241"/>
      <c r="D171" s="268"/>
      <c r="E171" s="246"/>
      <c r="F171" s="240"/>
      <c r="G171" s="277"/>
      <c r="H171" s="331"/>
      <c r="I171" s="332"/>
      <c r="J171" s="332"/>
      <c r="K171" s="352" t="s">
        <v>472</v>
      </c>
      <c r="L171" s="341" t="s">
        <v>472</v>
      </c>
      <c r="M171" s="341" t="s">
        <v>227</v>
      </c>
      <c r="N171" s="341" t="s">
        <v>472</v>
      </c>
      <c r="O171" s="342">
        <v>0.8</v>
      </c>
      <c r="P171" s="343" t="b">
        <f>AND(IF(G163=F$12,TRUE,IF(G163=G$9,TRUE,FALSE)),IF(G164=F$12,TRUE,IF(G164=G$9,TRUE,FALSE)),G165=M171,IF(G166=F$12,TRUE,IF(G166=G$9,TRUE,FALSE)))</f>
        <v>0</v>
      </c>
      <c r="Q171" s="344">
        <f t="shared" si="3"/>
        <v>0</v>
      </c>
      <c r="R171" s="325"/>
    </row>
    <row r="172" spans="1:18" ht="26.25">
      <c r="A172" s="239" t="s">
        <v>276</v>
      </c>
      <c r="B172" s="240"/>
      <c r="C172" s="241" t="s">
        <v>77</v>
      </c>
      <c r="D172" s="268">
        <v>0.5</v>
      </c>
      <c r="E172" s="246" t="s">
        <v>227</v>
      </c>
      <c r="F172" s="240" t="s">
        <v>228</v>
      </c>
      <c r="G172" s="269" t="s">
        <v>227</v>
      </c>
      <c r="H172" s="331">
        <f>IF(G172=E172,D172,1)</f>
        <v>0.5</v>
      </c>
      <c r="I172" s="332"/>
      <c r="J172" s="332"/>
      <c r="K172" s="335" t="s">
        <v>227</v>
      </c>
      <c r="L172" s="336" t="s">
        <v>227</v>
      </c>
      <c r="M172" s="336" t="s">
        <v>227</v>
      </c>
      <c r="N172" s="336" t="s">
        <v>227</v>
      </c>
      <c r="O172" s="353">
        <v>0.01</v>
      </c>
      <c r="P172" s="354" t="b">
        <f>AND(G163=K172,G164=L172,G165=M172,G166=N172)</f>
        <v>0</v>
      </c>
      <c r="Q172" s="355">
        <f t="shared" si="3"/>
        <v>0</v>
      </c>
      <c r="R172" s="325"/>
    </row>
    <row r="173" spans="1:18" ht="12.75">
      <c r="A173" s="239" t="s">
        <v>277</v>
      </c>
      <c r="B173" s="240"/>
      <c r="C173" s="241" t="s">
        <v>221</v>
      </c>
      <c r="D173" s="268">
        <v>0.5</v>
      </c>
      <c r="E173" s="246" t="s">
        <v>227</v>
      </c>
      <c r="F173" s="240" t="s">
        <v>228</v>
      </c>
      <c r="G173" s="269"/>
      <c r="H173" s="331">
        <f>IF(G173=E173,D173,1)</f>
        <v>1</v>
      </c>
      <c r="I173" s="332"/>
      <c r="J173" s="332"/>
      <c r="K173" s="340" t="s">
        <v>227</v>
      </c>
      <c r="L173" s="341" t="s">
        <v>227</v>
      </c>
      <c r="M173" s="341" t="s">
        <v>227</v>
      </c>
      <c r="N173" s="345" t="s">
        <v>472</v>
      </c>
      <c r="O173" s="342">
        <v>0.02</v>
      </c>
      <c r="P173" s="356" t="b">
        <f>AND(G163=K173,G164=L173,G165=M173,IF(G166=F$12,TRUE,IF(G166=G$9,TRUE,FALSE)))</f>
        <v>0</v>
      </c>
      <c r="Q173" s="344">
        <f t="shared" si="3"/>
        <v>0</v>
      </c>
      <c r="R173" s="325"/>
    </row>
    <row r="174" spans="7:18" ht="12.75" customHeight="1" hidden="1">
      <c r="G174" s="160"/>
      <c r="H174" s="327"/>
      <c r="I174" s="322"/>
      <c r="J174" s="322"/>
      <c r="K174" s="357" t="s">
        <v>472</v>
      </c>
      <c r="L174" s="358" t="s">
        <v>472</v>
      </c>
      <c r="M174" s="358" t="s">
        <v>472</v>
      </c>
      <c r="N174" s="359" t="s">
        <v>227</v>
      </c>
      <c r="O174" s="342">
        <v>1</v>
      </c>
      <c r="P174" s="356" t="b">
        <f>AND(IF(G163=F$12,TRUE,IF(G163=G$9,TRUE,FALSE)),IF(G164=F$12,TRUE,IF(G164=G$9,TRUE,FALSE)),IF(G165=F$12,TRUE,IF(G165=G$9,TRUE,FALSE)),G166=N174)</f>
        <v>0</v>
      </c>
      <c r="Q174" s="344">
        <f>P174*O174</f>
        <v>0</v>
      </c>
      <c r="R174" s="325"/>
    </row>
    <row r="175" spans="1:18" ht="12.75" customHeight="1" hidden="1">
      <c r="A175" s="167" t="s">
        <v>354</v>
      </c>
      <c r="B175" s="49"/>
      <c r="C175" s="59"/>
      <c r="D175" s="160"/>
      <c r="E175" s="49"/>
      <c r="F175" s="49"/>
      <c r="G175" s="176">
        <f>PRODUCT(H146:H173)</f>
        <v>0.5</v>
      </c>
      <c r="H175" s="324"/>
      <c r="I175" s="322"/>
      <c r="J175" s="322"/>
      <c r="K175" s="357" t="s">
        <v>472</v>
      </c>
      <c r="L175" s="358" t="s">
        <v>472</v>
      </c>
      <c r="M175" s="359" t="s">
        <v>227</v>
      </c>
      <c r="N175" s="359" t="s">
        <v>227</v>
      </c>
      <c r="O175" s="342">
        <v>0.8</v>
      </c>
      <c r="P175" s="356" t="b">
        <f>AND(IF(G163=F$12,TRUE,IF(G163=G$9,TRUE,FALSE)),IF(G164=F$12,TRUE,IF(G164=G$9,TRUE,FALSE)),G165=M175,G166=N175)</f>
        <v>0</v>
      </c>
      <c r="Q175" s="344">
        <f>P175*O175</f>
        <v>0</v>
      </c>
      <c r="R175" s="325"/>
    </row>
    <row r="176" spans="1:18" ht="12.75">
      <c r="A176" s="168" t="s">
        <v>355</v>
      </c>
      <c r="B176" s="161"/>
      <c r="C176" s="162"/>
      <c r="D176" s="163"/>
      <c r="E176" s="161"/>
      <c r="F176" s="161"/>
      <c r="G176" s="169">
        <f>D142*PRODUCT(H145,H146,H147,H154,H162,H172,H173)</f>
        <v>250</v>
      </c>
      <c r="H176" s="324"/>
      <c r="I176" s="322"/>
      <c r="J176" s="322"/>
      <c r="K176" s="357" t="s">
        <v>472</v>
      </c>
      <c r="L176" s="359" t="s">
        <v>227</v>
      </c>
      <c r="M176" s="358" t="s">
        <v>472</v>
      </c>
      <c r="N176" s="359" t="s">
        <v>227</v>
      </c>
      <c r="O176" s="342">
        <v>0.8</v>
      </c>
      <c r="P176" s="356" t="b">
        <f>AND(IF(G163=F$12,TRUE,IF(G163=G$9,TRUE,FALSE)),G164=L176,IF(G165=F$12,TRUE,IF(G165=G$9,TRUE,FALSE)),G166=N176)</f>
        <v>0</v>
      </c>
      <c r="Q176" s="344">
        <f>P176*O176</f>
        <v>0</v>
      </c>
      <c r="R176" s="325"/>
    </row>
    <row r="177" spans="8:18" ht="12.75">
      <c r="H177" s="324"/>
      <c r="I177" s="322"/>
      <c r="J177" s="322"/>
      <c r="K177" s="357" t="s">
        <v>472</v>
      </c>
      <c r="L177" s="359" t="s">
        <v>227</v>
      </c>
      <c r="M177" s="359" t="s">
        <v>227</v>
      </c>
      <c r="N177" s="359" t="s">
        <v>227</v>
      </c>
      <c r="O177" s="342">
        <v>0.8</v>
      </c>
      <c r="P177" s="356" t="b">
        <f>AND(IF(G163=F$12,TRUE,IF(G163=G$9,TRUE,FALSE)),G164=L177,G165=M177,G166=N177)</f>
        <v>0</v>
      </c>
      <c r="Q177" s="344">
        <f>P177*O177</f>
        <v>0</v>
      </c>
      <c r="R177" s="325"/>
    </row>
    <row r="178" spans="1:18" ht="21">
      <c r="A178" s="166" t="s">
        <v>351</v>
      </c>
      <c r="B178" s="163"/>
      <c r="C178" s="184" t="s">
        <v>84</v>
      </c>
      <c r="D178" s="163"/>
      <c r="E178" s="161"/>
      <c r="F178" s="161"/>
      <c r="G178" s="301"/>
      <c r="H178" s="323"/>
      <c r="I178" s="322"/>
      <c r="J178" s="322"/>
      <c r="K178" s="360" t="s">
        <v>472</v>
      </c>
      <c r="L178" s="361" t="s">
        <v>227</v>
      </c>
      <c r="M178" s="361" t="s">
        <v>227</v>
      </c>
      <c r="N178" s="362" t="s">
        <v>472</v>
      </c>
      <c r="O178" s="349">
        <v>0.8</v>
      </c>
      <c r="P178" s="363" t="b">
        <f>AND(IF(G163=F$12,TRUE,IF(G163=G$9,TRUE,FALSE)),G164=L178,G165=M178,IF(G166=F$12,TRUE,IF(G166=G$9,TRUE,FALSE)))</f>
        <v>0</v>
      </c>
      <c r="Q178" s="351">
        <f>P178*O178</f>
        <v>0</v>
      </c>
      <c r="R178" s="325"/>
    </row>
    <row r="179" spans="4:18" ht="12.75">
      <c r="D179" s="160"/>
      <c r="E179" s="49"/>
      <c r="H179" s="324"/>
      <c r="I179" s="322"/>
      <c r="J179" s="322"/>
      <c r="K179" s="324"/>
      <c r="L179" s="324"/>
      <c r="M179" s="324"/>
      <c r="N179" s="324"/>
      <c r="O179" s="324"/>
      <c r="P179" s="322"/>
      <c r="Q179" s="322"/>
      <c r="R179" s="325"/>
    </row>
    <row r="180" spans="1:18" ht="12.75">
      <c r="A180" s="422" t="s">
        <v>541</v>
      </c>
      <c r="B180" s="422"/>
      <c r="C180" s="422"/>
      <c r="D180" s="170" t="str">
        <f>$D$8</f>
        <v>Kengetal risico</v>
      </c>
      <c r="F180" s="44"/>
      <c r="G180" s="312"/>
      <c r="H180" s="408"/>
      <c r="I180" s="328"/>
      <c r="J180" s="328"/>
      <c r="K180" s="324"/>
      <c r="L180" s="324"/>
      <c r="M180" s="324"/>
      <c r="N180" s="324"/>
      <c r="O180" s="324"/>
      <c r="P180" s="322"/>
      <c r="Q180" s="322"/>
      <c r="R180" s="325"/>
    </row>
    <row r="181" spans="3:18" ht="151.5" customHeight="1">
      <c r="C181" s="59" t="s">
        <v>81</v>
      </c>
      <c r="D181" s="160">
        <v>100</v>
      </c>
      <c r="E181" s="49"/>
      <c r="H181" s="322"/>
      <c r="I181" s="322"/>
      <c r="J181" s="322"/>
      <c r="K181" s="405" t="s">
        <v>288</v>
      </c>
      <c r="L181" s="324"/>
      <c r="M181" s="324"/>
      <c r="N181" s="324"/>
      <c r="O181" s="324"/>
      <c r="P181" s="322"/>
      <c r="Q181" s="322"/>
      <c r="R181" s="325"/>
    </row>
    <row r="182" spans="1:18" ht="12.75">
      <c r="A182" s="165" t="s">
        <v>352</v>
      </c>
      <c r="D182" s="170" t="s">
        <v>185</v>
      </c>
      <c r="E182" s="44" t="str">
        <f>$E$11</f>
        <v>Mogelijke antwoorden</v>
      </c>
      <c r="G182" s="237" t="s">
        <v>226</v>
      </c>
      <c r="H182" s="330" t="s">
        <v>186</v>
      </c>
      <c r="I182" s="322"/>
      <c r="J182" s="322"/>
      <c r="K182" s="384" t="str">
        <f>A155</f>
        <v>PM 34</v>
      </c>
      <c r="L182" s="385" t="str">
        <f>A156</f>
        <v>PM 35</v>
      </c>
      <c r="M182" s="385" t="str">
        <f>A157</f>
        <v>PM 36</v>
      </c>
      <c r="N182" s="385"/>
      <c r="O182" s="386">
        <v>1</v>
      </c>
      <c r="P182" s="387"/>
      <c r="Q182" s="388">
        <f>SUM(Q183:Q190)</f>
        <v>1</v>
      </c>
      <c r="R182" s="325"/>
    </row>
    <row r="183" spans="1:18" s="61" customFormat="1" ht="26.25">
      <c r="A183" s="287" t="str">
        <f>A146</f>
        <v>PM 29</v>
      </c>
      <c r="B183" s="280"/>
      <c r="C183" s="280" t="s">
        <v>147</v>
      </c>
      <c r="D183" s="278"/>
      <c r="E183" s="279"/>
      <c r="F183" s="279"/>
      <c r="G183" s="282"/>
      <c r="H183" s="371">
        <f>H146</f>
        <v>1</v>
      </c>
      <c r="I183" s="380"/>
      <c r="J183" s="380"/>
      <c r="K183" s="390" t="s">
        <v>227</v>
      </c>
      <c r="L183" s="392" t="s">
        <v>472</v>
      </c>
      <c r="M183" s="392" t="s">
        <v>227</v>
      </c>
      <c r="N183" s="392"/>
      <c r="O183" s="393">
        <v>0.02</v>
      </c>
      <c r="P183" s="394" t="b">
        <f>AND(G155=E155,IF(G156=F$12,TRUE,IF(G156=G$9,TRUE,FALSE)),G157=E157)</f>
        <v>0</v>
      </c>
      <c r="Q183" s="395">
        <f aca="true" t="shared" si="4" ref="Q183:Q190">P183*O183</f>
        <v>0</v>
      </c>
      <c r="R183" s="409"/>
    </row>
    <row r="184" spans="1:18" s="61" customFormat="1" ht="26.25">
      <c r="A184" s="287"/>
      <c r="B184" s="280"/>
      <c r="C184" s="280" t="s">
        <v>61</v>
      </c>
      <c r="D184" s="278"/>
      <c r="E184" s="279"/>
      <c r="F184" s="279"/>
      <c r="G184" s="282"/>
      <c r="H184" s="371">
        <f>H147</f>
        <v>1</v>
      </c>
      <c r="I184" s="380"/>
      <c r="J184" s="380"/>
      <c r="K184" s="390" t="s">
        <v>227</v>
      </c>
      <c r="L184" s="392" t="s">
        <v>472</v>
      </c>
      <c r="M184" s="391" t="s">
        <v>472</v>
      </c>
      <c r="N184" s="392"/>
      <c r="O184" s="393">
        <v>0.25</v>
      </c>
      <c r="P184" s="394" t="b">
        <f>AND(G155=E155,IF(G156=F$12,TRUE,IF(G156=G$9,TRUE,FALSE)),IF(G157=F$12,TRUE,IF(G157=G$9,TRUE,FALSE)))</f>
        <v>0</v>
      </c>
      <c r="Q184" s="395">
        <f t="shared" si="4"/>
        <v>0</v>
      </c>
      <c r="R184" s="409"/>
    </row>
    <row r="185" spans="1:18" s="61" customFormat="1" ht="12.75">
      <c r="A185" s="287" t="str">
        <f>A148</f>
        <v>PM 30</v>
      </c>
      <c r="B185" s="280" t="str">
        <f>B148</f>
        <v>a</v>
      </c>
      <c r="C185" s="280" t="s">
        <v>68</v>
      </c>
      <c r="D185" s="278"/>
      <c r="E185" s="279"/>
      <c r="F185" s="279"/>
      <c r="G185" s="282"/>
      <c r="H185" s="371"/>
      <c r="I185" s="380"/>
      <c r="J185" s="380"/>
      <c r="K185" s="390" t="s">
        <v>472</v>
      </c>
      <c r="L185" s="392" t="s">
        <v>227</v>
      </c>
      <c r="M185" s="392" t="s">
        <v>227</v>
      </c>
      <c r="N185" s="392"/>
      <c r="O185" s="393">
        <v>0.2</v>
      </c>
      <c r="P185" s="394" t="b">
        <f>AND(IF(G155=F$12,TRUE,IF(G155=G$9,TRUE,FALSE)),G156=E156,G157=E157)</f>
        <v>0</v>
      </c>
      <c r="Q185" s="395">
        <f t="shared" si="4"/>
        <v>0</v>
      </c>
      <c r="R185" s="409"/>
    </row>
    <row r="186" spans="1:18" s="61" customFormat="1" ht="12.75">
      <c r="A186" s="287" t="str">
        <f>A149</f>
        <v>PM 31</v>
      </c>
      <c r="B186" s="280" t="str">
        <f>B149</f>
        <v>b</v>
      </c>
      <c r="C186" s="280" t="s">
        <v>71</v>
      </c>
      <c r="D186" s="278"/>
      <c r="E186" s="279"/>
      <c r="F186" s="279"/>
      <c r="G186" s="282"/>
      <c r="H186" s="371"/>
      <c r="I186" s="380"/>
      <c r="J186" s="380"/>
      <c r="K186" s="390" t="s">
        <v>472</v>
      </c>
      <c r="L186" s="392" t="s">
        <v>227</v>
      </c>
      <c r="M186" s="391" t="s">
        <v>472</v>
      </c>
      <c r="N186" s="392"/>
      <c r="O186" s="393">
        <v>0.66</v>
      </c>
      <c r="P186" s="394" t="b">
        <f>AND(IF(G155=F$12,TRUE,IF(G155=G$9,TRUE,FALSE)),G156=E156,IF(G157=F$12,TRUE,IF(G157=G$9,TRUE,FALSE)))</f>
        <v>0</v>
      </c>
      <c r="Q186" s="395">
        <f t="shared" si="4"/>
        <v>0</v>
      </c>
      <c r="R186" s="409"/>
    </row>
    <row r="187" spans="1:18" s="61" customFormat="1" ht="12.75">
      <c r="A187" s="287"/>
      <c r="B187" s="280"/>
      <c r="C187" s="280" t="s">
        <v>248</v>
      </c>
      <c r="D187" s="278"/>
      <c r="E187" s="279"/>
      <c r="F187" s="279"/>
      <c r="G187" s="282"/>
      <c r="H187" s="371"/>
      <c r="I187" s="380"/>
      <c r="J187" s="380"/>
      <c r="K187" s="410" t="s">
        <v>227</v>
      </c>
      <c r="L187" s="411" t="s">
        <v>227</v>
      </c>
      <c r="M187" s="411" t="s">
        <v>227</v>
      </c>
      <c r="N187" s="412"/>
      <c r="O187" s="386">
        <v>0.02</v>
      </c>
      <c r="P187" s="412" t="b">
        <f>AND(G155=E155,G156=E156,G157=E157)</f>
        <v>0</v>
      </c>
      <c r="Q187" s="389">
        <f t="shared" si="4"/>
        <v>0</v>
      </c>
      <c r="R187" s="409"/>
    </row>
    <row r="188" spans="1:18" s="61" customFormat="1" ht="12.75">
      <c r="A188" s="278" t="str">
        <f>A151</f>
        <v>PM 32</v>
      </c>
      <c r="B188" s="280" t="str">
        <f>B151</f>
        <v>a</v>
      </c>
      <c r="C188" s="280" t="s">
        <v>68</v>
      </c>
      <c r="D188" s="278"/>
      <c r="E188" s="279"/>
      <c r="F188" s="279"/>
      <c r="G188" s="282"/>
      <c r="H188" s="371"/>
      <c r="I188" s="380"/>
      <c r="J188" s="380"/>
      <c r="K188" s="413" t="s">
        <v>227</v>
      </c>
      <c r="L188" s="414" t="s">
        <v>227</v>
      </c>
      <c r="M188" s="414" t="s">
        <v>472</v>
      </c>
      <c r="N188" s="415"/>
      <c r="O188" s="393">
        <v>0.25</v>
      </c>
      <c r="P188" s="415" t="b">
        <f>AND(G155=E155,G156=E156,IF(G157=F$12,TRUE,IF(G157=G$9,TRUE,FALSE)))</f>
        <v>0</v>
      </c>
      <c r="Q188" s="395">
        <f t="shared" si="4"/>
        <v>0</v>
      </c>
      <c r="R188" s="409"/>
    </row>
    <row r="189" spans="1:18" s="61" customFormat="1" ht="12.75">
      <c r="A189" s="287" t="str">
        <f>A152</f>
        <v>PM 33</v>
      </c>
      <c r="B189" s="280" t="str">
        <f>B152</f>
        <v>b</v>
      </c>
      <c r="C189" s="280" t="s">
        <v>71</v>
      </c>
      <c r="D189" s="278"/>
      <c r="E189" s="279"/>
      <c r="F189" s="279"/>
      <c r="G189" s="282"/>
      <c r="H189" s="371"/>
      <c r="I189" s="380"/>
      <c r="J189" s="380"/>
      <c r="K189" s="413" t="s">
        <v>472</v>
      </c>
      <c r="L189" s="414" t="s">
        <v>472</v>
      </c>
      <c r="M189" s="414" t="s">
        <v>227</v>
      </c>
      <c r="N189" s="415"/>
      <c r="O189" s="393">
        <v>0.2</v>
      </c>
      <c r="P189" s="415" t="b">
        <f>AND(IF(G155=F$12,TRUE,IF(G155=G$9,TRUE,FALSE)),IF(G156=F$12,TRUE,IF(G156=G$9,TRUE,FALSE)),G157=E157)</f>
        <v>0</v>
      </c>
      <c r="Q189" s="395">
        <f t="shared" si="4"/>
        <v>0</v>
      </c>
      <c r="R189" s="409"/>
    </row>
    <row r="190" spans="1:18" ht="26.25">
      <c r="A190" s="239" t="s">
        <v>521</v>
      </c>
      <c r="B190" s="240"/>
      <c r="C190" s="241" t="s">
        <v>148</v>
      </c>
      <c r="D190" s="273">
        <v>0.2</v>
      </c>
      <c r="E190" s="240" t="s">
        <v>227</v>
      </c>
      <c r="F190" s="240" t="s">
        <v>228</v>
      </c>
      <c r="G190" s="269"/>
      <c r="H190" s="401">
        <f>IF(G190=E190,D190,100%)</f>
        <v>1</v>
      </c>
      <c r="I190" s="322"/>
      <c r="J190" s="322"/>
      <c r="K190" s="416" t="s">
        <v>472</v>
      </c>
      <c r="L190" s="417" t="s">
        <v>472</v>
      </c>
      <c r="M190" s="417" t="s">
        <v>472</v>
      </c>
      <c r="N190" s="418"/>
      <c r="O190" s="399">
        <v>1</v>
      </c>
      <c r="P190" s="419" t="b">
        <f>AND(IF(G155=F$12,TRUE,IF(G155=G$9,TRUE,FALSE)),IF(G156=F$12,TRUE,IF(G156=G$9,TRUE,FALSE)),IF(G157=F$12,TRUE,IF(G157=G$9,TRUE,FALSE)))</f>
        <v>1</v>
      </c>
      <c r="Q190" s="400">
        <f t="shared" si="4"/>
        <v>1</v>
      </c>
      <c r="R190" s="325"/>
    </row>
    <row r="191" spans="1:18" ht="26.25">
      <c r="A191" s="239" t="s">
        <v>522</v>
      </c>
      <c r="B191" s="240"/>
      <c r="C191" s="241" t="s">
        <v>57</v>
      </c>
      <c r="D191" s="273">
        <v>0.5</v>
      </c>
      <c r="E191" s="240" t="s">
        <v>227</v>
      </c>
      <c r="F191" s="240" t="s">
        <v>228</v>
      </c>
      <c r="G191" s="269"/>
      <c r="H191" s="401">
        <f>IF(G191=E191,D191,100%)</f>
        <v>1</v>
      </c>
      <c r="I191" s="322"/>
      <c r="J191" s="322"/>
      <c r="K191" s="324"/>
      <c r="L191" s="324"/>
      <c r="M191" s="324"/>
      <c r="N191" s="324"/>
      <c r="O191" s="324"/>
      <c r="P191" s="322"/>
      <c r="Q191" s="322"/>
      <c r="R191" s="325"/>
    </row>
    <row r="192" spans="1:18" ht="26.25">
      <c r="A192" s="239" t="s">
        <v>276</v>
      </c>
      <c r="B192" s="240"/>
      <c r="C192" s="241" t="s">
        <v>169</v>
      </c>
      <c r="D192" s="273">
        <v>0.5</v>
      </c>
      <c r="E192" s="240" t="s">
        <v>227</v>
      </c>
      <c r="F192" s="240" t="s">
        <v>228</v>
      </c>
      <c r="G192" s="269"/>
      <c r="H192" s="401">
        <f>IF(G192=E192,D192,100%)</f>
        <v>1</v>
      </c>
      <c r="I192" s="322"/>
      <c r="J192" s="322"/>
      <c r="K192" s="405" t="s">
        <v>286</v>
      </c>
      <c r="L192" s="324"/>
      <c r="M192" s="324"/>
      <c r="N192" s="324"/>
      <c r="O192" s="324"/>
      <c r="P192" s="322"/>
      <c r="Q192" s="322"/>
      <c r="R192" s="325"/>
    </row>
    <row r="193" spans="1:18" ht="12.75">
      <c r="A193" s="239"/>
      <c r="B193" s="240"/>
      <c r="C193" s="242" t="s">
        <v>78</v>
      </c>
      <c r="D193" s="268"/>
      <c r="E193" s="246"/>
      <c r="F193" s="240"/>
      <c r="G193" s="277"/>
      <c r="H193" s="331">
        <f>IF(OR(P194:P209),Q193,O193)</f>
        <v>1</v>
      </c>
      <c r="I193" s="332"/>
      <c r="J193" s="332"/>
      <c r="K193" s="335" t="str">
        <f>A194</f>
        <v>PM 3</v>
      </c>
      <c r="L193" s="336" t="str">
        <f>A195</f>
        <v>PM 4</v>
      </c>
      <c r="M193" s="336" t="str">
        <f>A196</f>
        <v>PM 5</v>
      </c>
      <c r="N193" s="336" t="str">
        <f>A197</f>
        <v>PM 6</v>
      </c>
      <c r="O193" s="337">
        <v>1</v>
      </c>
      <c r="P193" s="338"/>
      <c r="Q193" s="339">
        <f>SUM(Q194:Q209)</f>
        <v>0</v>
      </c>
      <c r="R193" s="325"/>
    </row>
    <row r="194" spans="1:18" ht="12.75">
      <c r="A194" s="239" t="s">
        <v>358</v>
      </c>
      <c r="B194" s="270">
        <v>1</v>
      </c>
      <c r="C194" s="241" t="s">
        <v>217</v>
      </c>
      <c r="D194" s="271" t="s">
        <v>362</v>
      </c>
      <c r="E194" s="246" t="s">
        <v>227</v>
      </c>
      <c r="F194" s="240" t="s">
        <v>228</v>
      </c>
      <c r="G194" s="269"/>
      <c r="H194" s="327"/>
      <c r="I194" s="322"/>
      <c r="J194" s="322"/>
      <c r="K194" s="340" t="s">
        <v>227</v>
      </c>
      <c r="L194" s="341" t="s">
        <v>227</v>
      </c>
      <c r="M194" s="341" t="s">
        <v>472</v>
      </c>
      <c r="N194" s="341" t="s">
        <v>227</v>
      </c>
      <c r="O194" s="342">
        <v>0.02</v>
      </c>
      <c r="P194" s="343" t="b">
        <f>AND($G194=$K194,$G195=$L194,IF($G196=$F$12,TRUE,IF($G196=$G$9,TRUE,FALSE)),$G197=$N194)</f>
        <v>0</v>
      </c>
      <c r="Q194" s="344">
        <f>P194*O194</f>
        <v>0</v>
      </c>
      <c r="R194" s="325"/>
    </row>
    <row r="195" spans="1:18" ht="12.75">
      <c r="A195" s="239" t="s">
        <v>359</v>
      </c>
      <c r="B195" s="240">
        <v>2</v>
      </c>
      <c r="C195" s="241" t="s">
        <v>500</v>
      </c>
      <c r="D195" s="271" t="s">
        <v>192</v>
      </c>
      <c r="E195" s="246" t="s">
        <v>227</v>
      </c>
      <c r="F195" s="240" t="s">
        <v>228</v>
      </c>
      <c r="G195" s="276"/>
      <c r="H195" s="331"/>
      <c r="I195" s="332"/>
      <c r="J195" s="332"/>
      <c r="K195" s="340" t="s">
        <v>227</v>
      </c>
      <c r="L195" s="341" t="s">
        <v>227</v>
      </c>
      <c r="M195" s="341" t="s">
        <v>472</v>
      </c>
      <c r="N195" s="345" t="s">
        <v>472</v>
      </c>
      <c r="O195" s="342">
        <v>0.05</v>
      </c>
      <c r="P195" s="343" t="b">
        <f>AND($G194=$K195,$G195=$L195,IF($G196=$F$12,TRUE,IF($G196=$G$9,TRUE,FALSE)),IF($G197=$F12,TRUE,IF($G197=$G$9,TRUE,FALSE)))</f>
        <v>0</v>
      </c>
      <c r="Q195" s="344">
        <f aca="true" t="shared" si="5" ref="Q195:Q204">P195*O195</f>
        <v>0</v>
      </c>
      <c r="R195" s="325"/>
    </row>
    <row r="196" spans="1:18" ht="12.75">
      <c r="A196" s="239" t="s">
        <v>360</v>
      </c>
      <c r="B196" s="240">
        <v>3</v>
      </c>
      <c r="C196" s="241" t="s">
        <v>493</v>
      </c>
      <c r="D196" s="268"/>
      <c r="E196" s="246" t="s">
        <v>227</v>
      </c>
      <c r="F196" s="240" t="s">
        <v>228</v>
      </c>
      <c r="G196" s="269"/>
      <c r="H196" s="331"/>
      <c r="I196" s="332"/>
      <c r="J196" s="332"/>
      <c r="K196" s="340" t="s">
        <v>227</v>
      </c>
      <c r="L196" s="345" t="s">
        <v>472</v>
      </c>
      <c r="M196" s="341" t="s">
        <v>472</v>
      </c>
      <c r="N196" s="341" t="s">
        <v>227</v>
      </c>
      <c r="O196" s="342">
        <v>0.5</v>
      </c>
      <c r="P196" s="343" t="b">
        <f>AND($G194=$K196,IF($G195=$F$12,TRUE,IF($G195=$G$9,TRUE,FALSE)),IF($G196=$F$12,TRUE,IF($G196=$G$9,TRUE,FALSE)),$G197=$N196)</f>
        <v>0</v>
      </c>
      <c r="Q196" s="344">
        <f t="shared" si="5"/>
        <v>0</v>
      </c>
      <c r="R196" s="325"/>
    </row>
    <row r="197" spans="1:18" ht="12.75">
      <c r="A197" s="239" t="s">
        <v>275</v>
      </c>
      <c r="B197" s="240">
        <v>4</v>
      </c>
      <c r="C197" s="241" t="s">
        <v>220</v>
      </c>
      <c r="D197" s="268"/>
      <c r="E197" s="246" t="s">
        <v>227</v>
      </c>
      <c r="F197" s="240" t="s">
        <v>228</v>
      </c>
      <c r="G197" s="269"/>
      <c r="H197" s="331"/>
      <c r="I197" s="332"/>
      <c r="J197" s="332"/>
      <c r="K197" s="346" t="s">
        <v>227</v>
      </c>
      <c r="L197" s="347" t="s">
        <v>472</v>
      </c>
      <c r="M197" s="348" t="s">
        <v>472</v>
      </c>
      <c r="N197" s="347" t="s">
        <v>472</v>
      </c>
      <c r="O197" s="349">
        <v>0.66</v>
      </c>
      <c r="P197" s="350" t="b">
        <f>AND($G194=$K197,IF($G195=$F$12,TRUE,IF($G$195=$G$9,TRUE,FALSE)),IF($G196=$F$12,TRUE,IF($G196=$G$9,TRUE,FALSE)),IF($G197=$F$12,TRUE,IF($G197=$G$9,TRUE,FALSE)))</f>
        <v>0</v>
      </c>
      <c r="Q197" s="351">
        <f t="shared" si="5"/>
        <v>0</v>
      </c>
      <c r="R197" s="325"/>
    </row>
    <row r="198" spans="1:18" ht="12.75" customHeight="1" hidden="1">
      <c r="A198" s="239"/>
      <c r="B198" s="240"/>
      <c r="C198" s="240"/>
      <c r="D198" s="239"/>
      <c r="E198" s="240"/>
      <c r="F198" s="240"/>
      <c r="G198" s="277"/>
      <c r="H198" s="327"/>
      <c r="I198" s="332"/>
      <c r="J198" s="332"/>
      <c r="K198" s="340" t="s">
        <v>227</v>
      </c>
      <c r="L198" s="341" t="s">
        <v>472</v>
      </c>
      <c r="M198" s="341" t="s">
        <v>227</v>
      </c>
      <c r="N198" s="341" t="s">
        <v>227</v>
      </c>
      <c r="O198" s="342">
        <v>0.01</v>
      </c>
      <c r="P198" s="343" t="b">
        <f>AND(G194=K198,IF(G195=F$12,TRUE,IF(G195=G$9,TRUE,FALSE)),G196=M198,G197=N198)</f>
        <v>0</v>
      </c>
      <c r="Q198" s="344">
        <f t="shared" si="5"/>
        <v>0</v>
      </c>
      <c r="R198" s="325"/>
    </row>
    <row r="199" spans="1:18" ht="12.75" customHeight="1" hidden="1">
      <c r="A199" s="239"/>
      <c r="B199" s="240"/>
      <c r="C199" s="241"/>
      <c r="D199" s="268"/>
      <c r="E199" s="246"/>
      <c r="F199" s="240"/>
      <c r="G199" s="277"/>
      <c r="H199" s="331"/>
      <c r="I199" s="332"/>
      <c r="J199" s="332"/>
      <c r="K199" s="340" t="s">
        <v>227</v>
      </c>
      <c r="L199" s="341" t="s">
        <v>472</v>
      </c>
      <c r="M199" s="341" t="s">
        <v>227</v>
      </c>
      <c r="N199" s="345" t="s">
        <v>472</v>
      </c>
      <c r="O199" s="342">
        <v>0.02</v>
      </c>
      <c r="P199" s="343" t="b">
        <f>AND(G194=K199,IF(G195=F$12,TRUE,IF(G195=G$9,TRUE,FALSE)),G196=M199,IF(G197=F$12,TRUE,IF(G197=G$9,TRUE,FALSE)))</f>
        <v>0</v>
      </c>
      <c r="Q199" s="344">
        <f t="shared" si="5"/>
        <v>0</v>
      </c>
      <c r="R199" s="325"/>
    </row>
    <row r="200" spans="1:18" ht="12.75" customHeight="1" hidden="1">
      <c r="A200" s="239"/>
      <c r="B200" s="240"/>
      <c r="C200" s="241"/>
      <c r="D200" s="268"/>
      <c r="E200" s="246"/>
      <c r="F200" s="240"/>
      <c r="G200" s="277"/>
      <c r="H200" s="331"/>
      <c r="I200" s="332"/>
      <c r="J200" s="332"/>
      <c r="K200" s="352" t="s">
        <v>472</v>
      </c>
      <c r="L200" s="341" t="s">
        <v>227</v>
      </c>
      <c r="M200" s="341" t="s">
        <v>472</v>
      </c>
      <c r="N200" s="341" t="s">
        <v>472</v>
      </c>
      <c r="O200" s="342">
        <v>0.8</v>
      </c>
      <c r="P200" s="343" t="b">
        <f>AND(IF(G194=F$12,TRUE,IF(G194=G$9,TRUE,FALSE)),IF(G196=F$12,TRUE,IF(G196=G$9,TRUE,FALSE)),G195=L200,IF(G197=F$12,TRUE,IF(G197=G$9,TRUE,FALSE)))</f>
        <v>0</v>
      </c>
      <c r="Q200" s="344">
        <f t="shared" si="5"/>
        <v>0</v>
      </c>
      <c r="R200" s="325"/>
    </row>
    <row r="201" spans="1:18" ht="12.75" customHeight="1" hidden="1">
      <c r="A201" s="239"/>
      <c r="B201" s="240"/>
      <c r="C201" s="241"/>
      <c r="D201" s="268"/>
      <c r="E201" s="246"/>
      <c r="F201" s="240"/>
      <c r="G201" s="277"/>
      <c r="H201" s="331"/>
      <c r="I201" s="332"/>
      <c r="J201" s="332"/>
      <c r="K201" s="352" t="s">
        <v>472</v>
      </c>
      <c r="L201" s="345" t="s">
        <v>472</v>
      </c>
      <c r="M201" s="341" t="s">
        <v>472</v>
      </c>
      <c r="N201" s="341" t="s">
        <v>472</v>
      </c>
      <c r="O201" s="342">
        <v>1</v>
      </c>
      <c r="P201" s="343" t="b">
        <f>AND(IF(G194=F$12,TRUE,IF(G194=G$9,TRUE,FALSE)),IF(G195=F$12,TRUE,IF(G195=G$9,TRUE,FALSE)),IF(G196=F$12,TRUE,IF(G196=G$9,TRUE,FALSE)),IF(G197=F$12,TRUE,IF(G197=G$9,TRUE,FALSE)),)</f>
        <v>0</v>
      </c>
      <c r="Q201" s="344">
        <f t="shared" si="5"/>
        <v>0</v>
      </c>
      <c r="R201" s="325"/>
    </row>
    <row r="202" spans="1:18" ht="12.75" customHeight="1" hidden="1">
      <c r="A202" s="239"/>
      <c r="B202" s="240"/>
      <c r="C202" s="241"/>
      <c r="D202" s="268"/>
      <c r="E202" s="246"/>
      <c r="F202" s="240"/>
      <c r="G202" s="277"/>
      <c r="H202" s="331"/>
      <c r="I202" s="332"/>
      <c r="J202" s="332"/>
      <c r="K202" s="352" t="s">
        <v>472</v>
      </c>
      <c r="L202" s="341" t="s">
        <v>472</v>
      </c>
      <c r="M202" s="341" t="s">
        <v>227</v>
      </c>
      <c r="N202" s="341" t="s">
        <v>472</v>
      </c>
      <c r="O202" s="342">
        <v>0.8</v>
      </c>
      <c r="P202" s="343" t="b">
        <f>AND(IF(G194=F$12,TRUE,IF(G194=G$9,TRUE,FALSE)),IF(G195=F$12,TRUE,IF(G195=G$9,TRUE,FALSE)),G196=M202,IF(G197=F$12,TRUE,IF(G197=G$9,TRUE,FALSE)))</f>
        <v>0</v>
      </c>
      <c r="Q202" s="344">
        <f t="shared" si="5"/>
        <v>0</v>
      </c>
      <c r="R202" s="325"/>
    </row>
    <row r="203" spans="1:18" ht="26.25">
      <c r="A203" s="239" t="s">
        <v>523</v>
      </c>
      <c r="B203" s="240"/>
      <c r="C203" s="241" t="s">
        <v>96</v>
      </c>
      <c r="D203" s="268">
        <v>0.2</v>
      </c>
      <c r="E203" s="246" t="s">
        <v>227</v>
      </c>
      <c r="F203" s="240" t="s">
        <v>228</v>
      </c>
      <c r="G203" s="269"/>
      <c r="H203" s="401">
        <f>IF(G203=E203,D203,100%)</f>
        <v>1</v>
      </c>
      <c r="I203" s="322"/>
      <c r="J203" s="322"/>
      <c r="K203" s="335" t="s">
        <v>227</v>
      </c>
      <c r="L203" s="336" t="s">
        <v>227</v>
      </c>
      <c r="M203" s="336" t="s">
        <v>227</v>
      </c>
      <c r="N203" s="336" t="s">
        <v>227</v>
      </c>
      <c r="O203" s="353">
        <v>0.01</v>
      </c>
      <c r="P203" s="354" t="b">
        <f>AND(G194=K203,G195=L203,G196=M203,G197=N203)</f>
        <v>0</v>
      </c>
      <c r="Q203" s="355">
        <f t="shared" si="5"/>
        <v>0</v>
      </c>
      <c r="R203" s="325"/>
    </row>
    <row r="204" spans="7:18" ht="12.75" customHeight="1" hidden="1">
      <c r="G204" s="160"/>
      <c r="H204" s="327"/>
      <c r="I204" s="322"/>
      <c r="J204" s="322"/>
      <c r="K204" s="340" t="s">
        <v>227</v>
      </c>
      <c r="L204" s="341" t="s">
        <v>227</v>
      </c>
      <c r="M204" s="341" t="s">
        <v>227</v>
      </c>
      <c r="N204" s="345" t="s">
        <v>472</v>
      </c>
      <c r="O204" s="342">
        <v>0.02</v>
      </c>
      <c r="P204" s="356" t="b">
        <f>AND(G194=K204,G195=L204,G196=M204,IF(G197=F$12,TRUE,IF(G197=G$9,TRUE,FALSE)))</f>
        <v>0</v>
      </c>
      <c r="Q204" s="344">
        <f t="shared" si="5"/>
        <v>0</v>
      </c>
      <c r="R204" s="325"/>
    </row>
    <row r="205" spans="1:18" ht="12.75" customHeight="1" hidden="1">
      <c r="A205" s="167" t="s">
        <v>354</v>
      </c>
      <c r="B205" s="49"/>
      <c r="C205" s="59"/>
      <c r="D205" s="160"/>
      <c r="E205" s="49"/>
      <c r="F205" s="49"/>
      <c r="G205" s="176">
        <f>PRODUCT(H183:H204)</f>
        <v>1</v>
      </c>
      <c r="H205" s="324"/>
      <c r="I205" s="322"/>
      <c r="J205" s="322"/>
      <c r="K205" s="357" t="s">
        <v>472</v>
      </c>
      <c r="L205" s="358" t="s">
        <v>472</v>
      </c>
      <c r="M205" s="358" t="s">
        <v>472</v>
      </c>
      <c r="N205" s="359" t="s">
        <v>227</v>
      </c>
      <c r="O205" s="342">
        <v>1</v>
      </c>
      <c r="P205" s="356" t="b">
        <f>AND(IF(G194=F$12,TRUE,IF(G194=G$9,TRUE,FALSE)),IF(G195=F$12,TRUE,IF(G195=G$9,TRUE,FALSE)),IF(G196=F$12,TRUE,IF(G196=G$9,TRUE,FALSE)),G197=N205)</f>
        <v>0</v>
      </c>
      <c r="Q205" s="344">
        <f>P205*O205</f>
        <v>0</v>
      </c>
      <c r="R205" s="325"/>
    </row>
    <row r="206" spans="1:18" ht="12.75">
      <c r="A206" s="168" t="s">
        <v>355</v>
      </c>
      <c r="B206" s="161"/>
      <c r="C206" s="162"/>
      <c r="D206" s="163"/>
      <c r="E206" s="161"/>
      <c r="F206" s="161"/>
      <c r="G206" s="169">
        <f>D181*PRODUCT(H183,H184,H190,H191,H192,H193,H203)</f>
        <v>100</v>
      </c>
      <c r="H206" s="324"/>
      <c r="I206" s="322"/>
      <c r="J206" s="322"/>
      <c r="K206" s="357" t="s">
        <v>472</v>
      </c>
      <c r="L206" s="358" t="s">
        <v>472</v>
      </c>
      <c r="M206" s="359" t="s">
        <v>227</v>
      </c>
      <c r="N206" s="359" t="s">
        <v>227</v>
      </c>
      <c r="O206" s="342">
        <v>0.8</v>
      </c>
      <c r="P206" s="356" t="b">
        <f>AND(IF(G194=F$12,TRUE,IF(G194=G$9,TRUE,FALSE)),IF(G195=F$12,TRUE,IF(G195=G$9,TRUE,FALSE)),G196=M206,G197=N206)</f>
        <v>0</v>
      </c>
      <c r="Q206" s="344">
        <f>P206*O206</f>
        <v>0</v>
      </c>
      <c r="R206" s="325"/>
    </row>
    <row r="207" spans="8:18" ht="12.75">
      <c r="H207" s="324"/>
      <c r="I207" s="322"/>
      <c r="J207" s="322"/>
      <c r="K207" s="357" t="s">
        <v>472</v>
      </c>
      <c r="L207" s="359" t="s">
        <v>227</v>
      </c>
      <c r="M207" s="358" t="s">
        <v>472</v>
      </c>
      <c r="N207" s="359" t="s">
        <v>227</v>
      </c>
      <c r="O207" s="342">
        <v>0.8</v>
      </c>
      <c r="P207" s="356" t="b">
        <f>AND(IF(G194=F$12,TRUE,IF(G194=G$9,TRUE,FALSE)),G195=L207,IF(G196=F$12,TRUE,IF(G196=G$9,TRUE,FALSE)),G197=N207)</f>
        <v>0</v>
      </c>
      <c r="Q207" s="344">
        <f>P207*O207</f>
        <v>0</v>
      </c>
      <c r="R207" s="325"/>
    </row>
    <row r="208" spans="8:18" ht="12.75">
      <c r="H208" s="324"/>
      <c r="I208" s="322"/>
      <c r="J208" s="322"/>
      <c r="K208" s="357" t="s">
        <v>472</v>
      </c>
      <c r="L208" s="359" t="s">
        <v>227</v>
      </c>
      <c r="M208" s="359" t="s">
        <v>227</v>
      </c>
      <c r="N208" s="359" t="s">
        <v>227</v>
      </c>
      <c r="O208" s="342">
        <v>0.8</v>
      </c>
      <c r="P208" s="356" t="b">
        <f>AND(IF(G194=F$12,TRUE,IF(G194=G$9,TRUE,FALSE)),G195=L208,G196=M208,G197=N208)</f>
        <v>0</v>
      </c>
      <c r="Q208" s="344">
        <f>P208*O208</f>
        <v>0</v>
      </c>
      <c r="R208" s="325"/>
    </row>
    <row r="209" spans="8:18" ht="12.75">
      <c r="H209" s="324"/>
      <c r="I209" s="322"/>
      <c r="J209" s="420"/>
      <c r="K209" s="360" t="s">
        <v>472</v>
      </c>
      <c r="L209" s="361" t="s">
        <v>227</v>
      </c>
      <c r="M209" s="361" t="s">
        <v>227</v>
      </c>
      <c r="N209" s="362" t="s">
        <v>472</v>
      </c>
      <c r="O209" s="349">
        <v>0.8</v>
      </c>
      <c r="P209" s="363" t="b">
        <f>AND(IF(G194=F$12,TRUE,IF(G194=G$9,TRUE,FALSE)),G195=L209,G196=M209,IF(G197=F$12,TRUE,IF(G197=G$9,TRUE,FALSE)))</f>
        <v>0</v>
      </c>
      <c r="Q209" s="351">
        <f>P209*O209</f>
        <v>0</v>
      </c>
      <c r="R209" s="325"/>
    </row>
    <row r="210" spans="8:18" ht="12.75">
      <c r="H210" s="324"/>
      <c r="I210" s="322"/>
      <c r="J210" s="322"/>
      <c r="K210" s="324"/>
      <c r="L210" s="324"/>
      <c r="M210" s="324"/>
      <c r="N210" s="324"/>
      <c r="O210" s="324"/>
      <c r="P210" s="322"/>
      <c r="Q210" s="322"/>
      <c r="R210" s="325"/>
    </row>
    <row r="211" spans="8:18" ht="12.75">
      <c r="H211" s="324"/>
      <c r="I211" s="322"/>
      <c r="J211" s="322"/>
      <c r="K211" s="324"/>
      <c r="L211" s="324"/>
      <c r="M211" s="324"/>
      <c r="N211" s="324"/>
      <c r="O211" s="324"/>
      <c r="P211" s="322"/>
      <c r="Q211" s="322"/>
      <c r="R211" s="325"/>
    </row>
  </sheetData>
  <sheetProtection/>
  <mergeCells count="9">
    <mergeCell ref="A8:C8"/>
    <mergeCell ref="A126:C126"/>
    <mergeCell ref="A141:C141"/>
    <mergeCell ref="A180:C180"/>
    <mergeCell ref="A61:C61"/>
    <mergeCell ref="A75:C75"/>
    <mergeCell ref="A94:C94"/>
    <mergeCell ref="A111:C111"/>
    <mergeCell ref="A32:C32"/>
  </mergeCells>
  <printOptions horizontalCentered="1"/>
  <pageMargins left="0.7874015748031497" right="0.7874015748031497" top="0.984251968503937" bottom="0.5905511811023623" header="0.5118110236220472" footer="0.5118110236220472"/>
  <pageSetup fitToHeight="5" horizontalDpi="600" verticalDpi="600" orientation="landscape" paperSize="9" scale="71" r:id="rId2"/>
  <headerFooter alignWithMargins="0">
    <oddHeader>&amp;RBijlage 5-1: Tool voor de droogkuissector</oddHeader>
    <oddFooter>&amp;CCGP BPBP Droogkuissector</oddFooter>
  </headerFooter>
  <rowBreaks count="8" manualBreakCount="8">
    <brk id="29" max="8" man="1"/>
    <brk id="60" max="8" man="1"/>
    <brk id="74" max="8" man="1"/>
    <brk id="93" max="8" man="1"/>
    <brk id="108" max="8" man="1"/>
    <brk id="123" max="8" man="1"/>
    <brk id="138" max="8" man="1"/>
    <brk id="177" max="8"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H8"/>
  <sheetViews>
    <sheetView zoomScalePageLayoutView="0" workbookViewId="0" topLeftCell="A1">
      <selection activeCell="B7" sqref="B7"/>
    </sheetView>
  </sheetViews>
  <sheetFormatPr defaultColWidth="9.140625" defaultRowHeight="12.75"/>
  <cols>
    <col min="1" max="1" width="18.28125" style="16" customWidth="1"/>
    <col min="2" max="2" width="85.7109375" style="16" customWidth="1"/>
    <col min="3" max="3" width="12.140625" style="15" hidden="1" customWidth="1"/>
    <col min="4" max="6" width="9.140625" style="15" customWidth="1"/>
    <col min="7" max="16384" width="9.140625" style="16" customWidth="1"/>
  </cols>
  <sheetData>
    <row r="1" spans="1:2" ht="15">
      <c r="A1" s="109" t="s">
        <v>274</v>
      </c>
      <c r="B1" s="110" t="s">
        <v>11</v>
      </c>
    </row>
    <row r="2" spans="1:6" s="19" customFormat="1" ht="12.75">
      <c r="A2" s="111" t="s">
        <v>208</v>
      </c>
      <c r="B2" s="131" t="s">
        <v>333</v>
      </c>
      <c r="C2" s="18"/>
      <c r="D2" s="18"/>
      <c r="E2" s="18"/>
      <c r="F2" s="18"/>
    </row>
    <row r="3" spans="1:8" s="19" customFormat="1" ht="12.75">
      <c r="A3" s="111" t="s">
        <v>133</v>
      </c>
      <c r="B3" s="112"/>
      <c r="C3" s="28" t="s">
        <v>375</v>
      </c>
      <c r="D3" s="28"/>
      <c r="E3" s="28"/>
      <c r="F3" s="28"/>
      <c r="G3" s="29"/>
      <c r="H3" s="28"/>
    </row>
    <row r="4" spans="1:6" s="19" customFormat="1" ht="12.75">
      <c r="A4" s="143"/>
      <c r="B4" s="134" t="s">
        <v>335</v>
      </c>
      <c r="C4" s="27" t="s">
        <v>44</v>
      </c>
      <c r="D4" s="18"/>
      <c r="E4" s="18"/>
      <c r="F4" s="18"/>
    </row>
    <row r="5" spans="1:6" s="19" customFormat="1" ht="12.75">
      <c r="A5" s="111" t="s">
        <v>386</v>
      </c>
      <c r="B5" s="112"/>
      <c r="C5" s="18"/>
      <c r="D5" s="18"/>
      <c r="E5" s="18"/>
      <c r="F5" s="18"/>
    </row>
    <row r="6" spans="1:2" ht="12.75">
      <c r="A6" s="23"/>
      <c r="B6" s="146" t="s">
        <v>334</v>
      </c>
    </row>
    <row r="7" spans="1:6" s="19" customFormat="1" ht="12.75">
      <c r="A7" s="111" t="s">
        <v>387</v>
      </c>
      <c r="B7" s="112"/>
      <c r="C7" s="18"/>
      <c r="D7" s="18"/>
      <c r="E7" s="18"/>
      <c r="F7" s="18"/>
    </row>
    <row r="8" spans="1:2" ht="12.75" customHeight="1">
      <c r="A8" s="23"/>
      <c r="B8" s="125" t="s">
        <v>334</v>
      </c>
    </row>
  </sheetData>
  <sheetProtection/>
  <printOptions/>
  <pageMargins left="0.7874015748031497" right="0.7874015748031497" top="0.984251968503937" bottom="0.984251968503937" header="0.5118110236220472" footer="0.5118110236220472"/>
  <pageSetup fitToHeight="1" fitToWidth="1" horizontalDpi="300" verticalDpi="300" orientation="portrait" scale="85" r:id="rId1"/>
  <headerFooter alignWithMargins="0">
    <oddHeader>&amp;RBijlage 3-2: Analyse van de aspecten</oddHeader>
    <oddFooter>&amp;CMethodiek BPBP</oddFooter>
  </headerFooter>
</worksheet>
</file>

<file path=xl/worksheets/sheet11.xml><?xml version="1.0" encoding="utf-8"?>
<worksheet xmlns="http://schemas.openxmlformats.org/spreadsheetml/2006/main" xmlns:r="http://schemas.openxmlformats.org/officeDocument/2006/relationships">
  <dimension ref="A1:F51"/>
  <sheetViews>
    <sheetView zoomScaleSheetLayoutView="100" zoomScalePageLayoutView="0" workbookViewId="0" topLeftCell="A1">
      <selection activeCell="E37" sqref="E37"/>
    </sheetView>
  </sheetViews>
  <sheetFormatPr defaultColWidth="9.140625" defaultRowHeight="12.75"/>
  <cols>
    <col min="1" max="1" width="18.140625" style="16" customWidth="1"/>
    <col min="2" max="2" width="85.7109375" style="16" customWidth="1"/>
    <col min="3" max="3" width="12.140625" style="27" hidden="1" customWidth="1"/>
    <col min="4" max="4" width="0" style="16" hidden="1" customWidth="1"/>
    <col min="5" max="16384" width="9.140625" style="16" customWidth="1"/>
  </cols>
  <sheetData>
    <row r="1" spans="1:2" ht="15">
      <c r="A1" s="109" t="s">
        <v>274</v>
      </c>
      <c r="B1" s="110" t="s">
        <v>12</v>
      </c>
    </row>
    <row r="2" spans="1:3" s="19" customFormat="1" ht="12.75">
      <c r="A2" s="111" t="s">
        <v>208</v>
      </c>
      <c r="B2" s="112" t="s">
        <v>336</v>
      </c>
      <c r="C2" s="28"/>
    </row>
    <row r="3" spans="1:2" ht="26.25">
      <c r="A3" s="42"/>
      <c r="B3" s="114" t="s">
        <v>46</v>
      </c>
    </row>
    <row r="4" spans="1:6" s="19" customFormat="1" ht="12.75">
      <c r="A4" s="111" t="s">
        <v>133</v>
      </c>
      <c r="B4" s="112"/>
      <c r="C4" s="28" t="s">
        <v>375</v>
      </c>
      <c r="D4" s="28"/>
      <c r="E4" s="28"/>
      <c r="F4" s="28"/>
    </row>
    <row r="5" spans="1:5" ht="54" customHeight="1">
      <c r="A5" s="116" t="s">
        <v>134</v>
      </c>
      <c r="B5" s="121" t="s">
        <v>242</v>
      </c>
      <c r="C5" s="30" t="s">
        <v>385</v>
      </c>
      <c r="E5" s="15"/>
    </row>
    <row r="6" spans="1:5" ht="27" customHeight="1">
      <c r="A6" s="116" t="s">
        <v>134</v>
      </c>
      <c r="B6" s="121" t="s">
        <v>21</v>
      </c>
      <c r="C6" s="30" t="s">
        <v>385</v>
      </c>
      <c r="E6" s="15"/>
    </row>
    <row r="7" spans="1:5" ht="41.25" customHeight="1">
      <c r="A7" s="116" t="s">
        <v>134</v>
      </c>
      <c r="B7" s="121" t="s">
        <v>22</v>
      </c>
      <c r="C7" s="30" t="s">
        <v>385</v>
      </c>
      <c r="E7" s="15"/>
    </row>
    <row r="8" spans="1:5" ht="29.25" customHeight="1">
      <c r="A8" s="116" t="s">
        <v>134</v>
      </c>
      <c r="B8" s="121" t="s">
        <v>316</v>
      </c>
      <c r="C8" s="30" t="s">
        <v>385</v>
      </c>
      <c r="E8" s="15"/>
    </row>
    <row r="9" spans="1:5" ht="27" customHeight="1">
      <c r="A9" s="116" t="s">
        <v>134</v>
      </c>
      <c r="B9" s="123" t="s">
        <v>146</v>
      </c>
      <c r="C9" s="16"/>
      <c r="E9" s="15"/>
    </row>
    <row r="10" spans="1:3" s="19" customFormat="1" ht="12.75">
      <c r="A10" s="130" t="s">
        <v>386</v>
      </c>
      <c r="B10" s="129"/>
      <c r="C10" s="28"/>
    </row>
    <row r="11" spans="1:3" s="19" customFormat="1" ht="12.75">
      <c r="A11" s="111" t="s">
        <v>387</v>
      </c>
      <c r="B11" s="115"/>
      <c r="C11" s="28"/>
    </row>
    <row r="12" spans="1:4" s="19" customFormat="1" ht="12.75">
      <c r="A12" s="116" t="s">
        <v>134</v>
      </c>
      <c r="B12" s="141" t="s">
        <v>61</v>
      </c>
      <c r="C12" s="30" t="str">
        <f>A5</f>
        <v> - </v>
      </c>
      <c r="D12" s="16" t="s">
        <v>260</v>
      </c>
    </row>
    <row r="13" spans="1:3" ht="26.25">
      <c r="A13" s="42"/>
      <c r="B13" s="121" t="s">
        <v>47</v>
      </c>
      <c r="C13" s="30"/>
    </row>
    <row r="14" spans="1:4" ht="12.75">
      <c r="A14" s="116" t="s">
        <v>134</v>
      </c>
      <c r="B14" s="114" t="s">
        <v>248</v>
      </c>
      <c r="C14" s="30" t="str">
        <f>A5</f>
        <v> - </v>
      </c>
      <c r="D14" s="16" t="s">
        <v>260</v>
      </c>
    </row>
    <row r="15" spans="1:3" ht="26.25">
      <c r="A15" s="42"/>
      <c r="B15" s="114" t="s">
        <v>317</v>
      </c>
      <c r="C15" s="30"/>
    </row>
    <row r="16" spans="1:3" ht="12.75">
      <c r="A16" s="116" t="s">
        <v>134</v>
      </c>
      <c r="B16" s="114" t="s">
        <v>249</v>
      </c>
      <c r="C16" s="27" t="s">
        <v>383</v>
      </c>
    </row>
    <row r="17" spans="1:2" ht="12.75">
      <c r="A17" s="42"/>
      <c r="B17" s="121" t="s">
        <v>544</v>
      </c>
    </row>
    <row r="18" spans="1:4" ht="12.75">
      <c r="A18" s="116" t="s">
        <v>134</v>
      </c>
      <c r="B18" s="114" t="s">
        <v>250</v>
      </c>
      <c r="C18" s="30" t="str">
        <f>A5</f>
        <v> - </v>
      </c>
      <c r="D18" s="16" t="s">
        <v>261</v>
      </c>
    </row>
    <row r="19" spans="1:3" ht="93" customHeight="1">
      <c r="A19" s="42"/>
      <c r="B19" s="114" t="s">
        <v>545</v>
      </c>
      <c r="C19" s="30"/>
    </row>
    <row r="20" spans="1:4" ht="12.75">
      <c r="A20" s="116" t="s">
        <v>134</v>
      </c>
      <c r="B20" s="114" t="s">
        <v>251</v>
      </c>
      <c r="C20" s="30" t="str">
        <f>A6</f>
        <v> - </v>
      </c>
      <c r="D20" s="16" t="s">
        <v>263</v>
      </c>
    </row>
    <row r="21" spans="1:3" ht="66">
      <c r="A21" s="42"/>
      <c r="B21" s="121" t="s">
        <v>262</v>
      </c>
      <c r="C21" s="30"/>
    </row>
    <row r="22" spans="1:4" ht="12.75">
      <c r="A22" s="116" t="s">
        <v>134</v>
      </c>
      <c r="B22" s="142" t="s">
        <v>252</v>
      </c>
      <c r="C22" s="27" t="str">
        <f>A5</f>
        <v> - </v>
      </c>
      <c r="D22" s="16" t="s">
        <v>260</v>
      </c>
    </row>
    <row r="23" spans="1:2" ht="39">
      <c r="A23" s="42"/>
      <c r="B23" s="114" t="s">
        <v>48</v>
      </c>
    </row>
    <row r="24" spans="1:3" ht="12.75">
      <c r="A24" s="116" t="s">
        <v>134</v>
      </c>
      <c r="B24" s="114" t="s">
        <v>253</v>
      </c>
      <c r="C24" s="27" t="s">
        <v>377</v>
      </c>
    </row>
    <row r="25" spans="1:2" ht="39">
      <c r="A25" s="42"/>
      <c r="B25" s="114" t="s">
        <v>49</v>
      </c>
    </row>
    <row r="26" spans="1:4" ht="12.75">
      <c r="A26" s="116" t="s">
        <v>134</v>
      </c>
      <c r="B26" s="121" t="s">
        <v>273</v>
      </c>
      <c r="C26" s="30" t="str">
        <f>A5</f>
        <v> - </v>
      </c>
      <c r="D26" s="16" t="s">
        <v>260</v>
      </c>
    </row>
    <row r="27" spans="1:3" ht="78.75">
      <c r="A27" s="42"/>
      <c r="B27" s="121" t="s">
        <v>364</v>
      </c>
      <c r="C27" s="30"/>
    </row>
    <row r="28" spans="1:4" ht="26.25">
      <c r="A28" s="116" t="s">
        <v>134</v>
      </c>
      <c r="B28" s="121" t="s">
        <v>320</v>
      </c>
      <c r="C28" s="30" t="str">
        <f>A7</f>
        <v> - </v>
      </c>
      <c r="D28" s="16" t="s">
        <v>263</v>
      </c>
    </row>
    <row r="29" spans="1:3" ht="54.75" customHeight="1">
      <c r="A29" s="42"/>
      <c r="B29" s="114" t="s">
        <v>255</v>
      </c>
      <c r="C29" s="30"/>
    </row>
    <row r="30" spans="1:4" ht="12.75">
      <c r="A30" s="116" t="s">
        <v>134</v>
      </c>
      <c r="B30" s="114" t="s">
        <v>453</v>
      </c>
      <c r="C30" s="30" t="str">
        <f>A5</f>
        <v> - </v>
      </c>
      <c r="D30" s="16" t="s">
        <v>260</v>
      </c>
    </row>
    <row r="31" spans="1:3" ht="39">
      <c r="A31" s="42"/>
      <c r="B31" s="114" t="s">
        <v>256</v>
      </c>
      <c r="C31" s="30"/>
    </row>
    <row r="32" spans="1:4" ht="12.75">
      <c r="A32" s="116" t="s">
        <v>134</v>
      </c>
      <c r="B32" s="114" t="s">
        <v>454</v>
      </c>
      <c r="C32" s="30" t="str">
        <f>A5</f>
        <v> - </v>
      </c>
      <c r="D32" s="16" t="s">
        <v>260</v>
      </c>
    </row>
    <row r="33" spans="1:3" ht="26.25">
      <c r="A33" s="42"/>
      <c r="B33" s="121" t="s">
        <v>363</v>
      </c>
      <c r="C33" s="30"/>
    </row>
    <row r="34" spans="1:3" ht="14.25" customHeight="1">
      <c r="A34" s="116" t="s">
        <v>134</v>
      </c>
      <c r="B34" s="114" t="s">
        <v>455</v>
      </c>
      <c r="C34" s="21" t="s">
        <v>264</v>
      </c>
    </row>
    <row r="35" spans="1:3" ht="39">
      <c r="A35" s="42"/>
      <c r="B35" s="114" t="s">
        <v>31</v>
      </c>
      <c r="C35" s="26"/>
    </row>
    <row r="36" spans="1:4" ht="12.75">
      <c r="A36" s="116" t="s">
        <v>134</v>
      </c>
      <c r="B36" s="114" t="s">
        <v>456</v>
      </c>
      <c r="C36" s="30" t="str">
        <f>A5</f>
        <v> - </v>
      </c>
      <c r="D36" s="16" t="s">
        <v>265</v>
      </c>
    </row>
    <row r="37" spans="1:3" ht="29.25" customHeight="1">
      <c r="A37" s="42"/>
      <c r="B37" s="114" t="s">
        <v>104</v>
      </c>
      <c r="C37" s="30"/>
    </row>
    <row r="38" spans="1:3" ht="12.75">
      <c r="A38" s="116" t="s">
        <v>134</v>
      </c>
      <c r="B38" s="121" t="s">
        <v>457</v>
      </c>
      <c r="C38" s="27" t="s">
        <v>23</v>
      </c>
    </row>
    <row r="39" spans="1:2" ht="26.25">
      <c r="A39" s="42"/>
      <c r="B39" s="114" t="s">
        <v>105</v>
      </c>
    </row>
    <row r="40" spans="1:3" ht="12.75">
      <c r="A40" s="116" t="s">
        <v>134</v>
      </c>
      <c r="B40" s="114" t="s">
        <v>217</v>
      </c>
      <c r="C40" s="27" t="s">
        <v>24</v>
      </c>
    </row>
    <row r="41" spans="1:2" ht="26.25">
      <c r="A41" s="23"/>
      <c r="B41" s="125" t="s">
        <v>106</v>
      </c>
    </row>
    <row r="46" ht="12.75">
      <c r="B46" s="26"/>
    </row>
    <row r="47" ht="12.75">
      <c r="B47" s="26"/>
    </row>
    <row r="48" ht="12.75">
      <c r="B48" s="26"/>
    </row>
    <row r="49" ht="12.75">
      <c r="B49" s="40"/>
    </row>
    <row r="50" ht="12.75">
      <c r="B50" s="26"/>
    </row>
    <row r="51" ht="12.75">
      <c r="B51" s="40"/>
    </row>
  </sheetData>
  <sheetProtection/>
  <printOptions/>
  <pageMargins left="0.7480314960629921" right="0.7480314960629921" top="0.984251968503937" bottom="0.984251968503937" header="0.5118110236220472" footer="0.5118110236220472"/>
  <pageSetup horizontalDpi="300" verticalDpi="300" orientation="portrait" paperSize="9" scale="85" r:id="rId1"/>
  <headerFooter alignWithMargins="0">
    <oddHeader>&amp;RBijlage 3-2: Analyse van de aspecten</oddHeader>
    <oddFooter>&amp;CMethodiek BPBP</oddFooter>
  </headerFooter>
  <rowBreaks count="1" manualBreakCount="1">
    <brk id="25" max="255" man="1"/>
  </rowBreaks>
  <colBreaks count="1" manualBreakCount="1">
    <brk id="2" max="44" man="1"/>
  </colBreaks>
</worksheet>
</file>

<file path=xl/worksheets/sheet12.xml><?xml version="1.0" encoding="utf-8"?>
<worksheet xmlns="http://schemas.openxmlformats.org/spreadsheetml/2006/main" xmlns:r="http://schemas.openxmlformats.org/officeDocument/2006/relationships">
  <sheetPr>
    <pageSetUpPr fitToPage="1"/>
  </sheetPr>
  <dimension ref="A1:C16"/>
  <sheetViews>
    <sheetView zoomScalePageLayoutView="0" workbookViewId="0" topLeftCell="A3">
      <selection activeCell="F16" sqref="F16"/>
    </sheetView>
  </sheetViews>
  <sheetFormatPr defaultColWidth="9.140625" defaultRowHeight="12.75"/>
  <cols>
    <col min="1" max="1" width="18.57421875" style="16" customWidth="1"/>
    <col min="2" max="2" width="85.7109375" style="16" customWidth="1"/>
    <col min="3" max="3" width="12.140625" style="27" hidden="1" customWidth="1"/>
    <col min="4" max="16384" width="9.140625" style="16" customWidth="1"/>
  </cols>
  <sheetData>
    <row r="1" spans="1:2" ht="15">
      <c r="A1" s="109" t="s">
        <v>274</v>
      </c>
      <c r="B1" s="110" t="s">
        <v>13</v>
      </c>
    </row>
    <row r="2" spans="1:3" s="19" customFormat="1" ht="12.75">
      <c r="A2" s="111" t="s">
        <v>208</v>
      </c>
      <c r="B2" s="112" t="s">
        <v>337</v>
      </c>
      <c r="C2" s="28"/>
    </row>
    <row r="3" spans="1:2" ht="78.75">
      <c r="A3" s="23"/>
      <c r="B3" s="125" t="s">
        <v>0</v>
      </c>
    </row>
    <row r="4" spans="1:3" s="19" customFormat="1" ht="12.75">
      <c r="A4" s="128" t="s">
        <v>133</v>
      </c>
      <c r="B4" s="129"/>
      <c r="C4" s="28" t="s">
        <v>375</v>
      </c>
    </row>
    <row r="5" spans="1:3" ht="26.25">
      <c r="A5" s="116" t="s">
        <v>134</v>
      </c>
      <c r="B5" s="114" t="s">
        <v>442</v>
      </c>
      <c r="C5" s="30" t="s">
        <v>385</v>
      </c>
    </row>
    <row r="6" spans="1:3" ht="39">
      <c r="A6" s="120" t="s">
        <v>134</v>
      </c>
      <c r="B6" s="125" t="s">
        <v>1</v>
      </c>
      <c r="C6" s="27" t="s">
        <v>377</v>
      </c>
    </row>
    <row r="7" spans="1:3" s="19" customFormat="1" ht="12.75">
      <c r="A7" s="128" t="s">
        <v>386</v>
      </c>
      <c r="B7" s="129"/>
      <c r="C7" s="28"/>
    </row>
    <row r="8" spans="1:3" s="19" customFormat="1" ht="12.75">
      <c r="A8" s="111" t="s">
        <v>387</v>
      </c>
      <c r="B8" s="112"/>
      <c r="C8" s="28"/>
    </row>
    <row r="9" spans="1:3" ht="13.5" customHeight="1">
      <c r="A9" s="116" t="s">
        <v>134</v>
      </c>
      <c r="B9" s="141" t="s">
        <v>2</v>
      </c>
      <c r="C9" s="36" t="s">
        <v>214</v>
      </c>
    </row>
    <row r="10" spans="1:3" ht="12.75">
      <c r="A10" s="116" t="s">
        <v>134</v>
      </c>
      <c r="B10" s="141" t="s">
        <v>224</v>
      </c>
      <c r="C10" s="36"/>
    </row>
    <row r="11" spans="1:3" ht="39">
      <c r="A11" s="135"/>
      <c r="B11" s="121" t="s">
        <v>223</v>
      </c>
      <c r="C11" s="30" t="str">
        <f>A5</f>
        <v> - </v>
      </c>
    </row>
    <row r="12" spans="1:3" ht="12.75">
      <c r="A12" s="116" t="s">
        <v>134</v>
      </c>
      <c r="B12" s="141" t="s">
        <v>217</v>
      </c>
      <c r="C12" s="30" t="str">
        <f>A5</f>
        <v> - </v>
      </c>
    </row>
    <row r="13" spans="1:3" ht="26.25">
      <c r="A13" s="42"/>
      <c r="B13" s="114" t="s">
        <v>106</v>
      </c>
      <c r="C13" s="30"/>
    </row>
    <row r="14" spans="1:3" ht="39">
      <c r="A14" s="116" t="s">
        <v>134</v>
      </c>
      <c r="B14" s="114" t="s">
        <v>3</v>
      </c>
      <c r="C14" s="30" t="str">
        <f>A5</f>
        <v> - </v>
      </c>
    </row>
    <row r="15" spans="1:3" ht="15" customHeight="1">
      <c r="A15" s="116" t="s">
        <v>134</v>
      </c>
      <c r="B15" s="141" t="s">
        <v>218</v>
      </c>
      <c r="C15" s="27" t="s">
        <v>322</v>
      </c>
    </row>
    <row r="16" spans="1:2" ht="39">
      <c r="A16" s="23"/>
      <c r="B16" s="125" t="s">
        <v>31</v>
      </c>
    </row>
  </sheetData>
  <sheetProtection/>
  <printOptions/>
  <pageMargins left="0.7874015748031497" right="0.7874015748031497" top="0.984251968503937" bottom="0.984251968503937" header="0.5118110236220472" footer="0.5118110236220472"/>
  <pageSetup fitToHeight="1" fitToWidth="1" horizontalDpi="300" verticalDpi="300" orientation="portrait" scale="85" r:id="rId1"/>
  <headerFooter alignWithMargins="0">
    <oddHeader>&amp;RBijlage 3-2: Analyse van de aspecten</oddHeader>
    <oddFooter>&amp;CMethodiek BPBP</oddFooter>
  </headerFooter>
</worksheet>
</file>

<file path=xl/worksheets/sheet13.xml><?xml version="1.0" encoding="utf-8"?>
<worksheet xmlns="http://schemas.openxmlformats.org/spreadsheetml/2006/main" xmlns:r="http://schemas.openxmlformats.org/officeDocument/2006/relationships">
  <dimension ref="A1:IT78"/>
  <sheetViews>
    <sheetView view="pageBreakPreview" zoomScaleSheetLayoutView="100" zoomScalePageLayoutView="0" workbookViewId="0" topLeftCell="A1">
      <selection activeCell="B5" sqref="B5"/>
    </sheetView>
  </sheetViews>
  <sheetFormatPr defaultColWidth="9.140625" defaultRowHeight="12.75"/>
  <cols>
    <col min="1" max="1" width="18.7109375" style="16" customWidth="1"/>
    <col min="2" max="2" width="85.7109375" style="16" customWidth="1"/>
    <col min="3" max="3" width="12.140625" style="27" hidden="1" customWidth="1"/>
    <col min="4" max="4" width="0" style="15" hidden="1" customWidth="1"/>
    <col min="5" max="16384" width="9.140625" style="16" customWidth="1"/>
  </cols>
  <sheetData>
    <row r="1" spans="1:2" ht="15">
      <c r="A1" s="109" t="s">
        <v>274</v>
      </c>
      <c r="B1" s="110" t="s">
        <v>14</v>
      </c>
    </row>
    <row r="2" spans="1:4" s="19" customFormat="1" ht="12.75">
      <c r="A2" s="111" t="s">
        <v>208</v>
      </c>
      <c r="B2" s="112" t="s">
        <v>338</v>
      </c>
      <c r="C2" s="28"/>
      <c r="D2" s="18"/>
    </row>
    <row r="3" spans="1:2" ht="26.25">
      <c r="A3" s="42"/>
      <c r="B3" s="114" t="s">
        <v>4</v>
      </c>
    </row>
    <row r="4" spans="1:4" s="19" customFormat="1" ht="12.75">
      <c r="A4" s="105" t="s">
        <v>133</v>
      </c>
      <c r="B4" s="147"/>
      <c r="C4" s="28" t="s">
        <v>375</v>
      </c>
      <c r="D4" s="18"/>
    </row>
    <row r="5" spans="1:4" ht="52.5">
      <c r="A5" s="126"/>
      <c r="B5" s="117" t="s">
        <v>439</v>
      </c>
      <c r="C5" s="30" t="s">
        <v>205</v>
      </c>
      <c r="D5" s="15" t="s">
        <v>167</v>
      </c>
    </row>
    <row r="6" spans="1:4" s="19" customFormat="1" ht="12.75">
      <c r="A6" s="111" t="s">
        <v>386</v>
      </c>
      <c r="B6" s="112"/>
      <c r="C6" s="28"/>
      <c r="D6" s="18"/>
    </row>
    <row r="7" spans="1:4" ht="39">
      <c r="A7" s="42"/>
      <c r="B7" s="114" t="s">
        <v>440</v>
      </c>
      <c r="C7" s="27" t="s">
        <v>377</v>
      </c>
      <c r="D7" s="33" t="s">
        <v>206</v>
      </c>
    </row>
    <row r="8" spans="1:4" s="19" customFormat="1" ht="12.75">
      <c r="A8" s="111" t="s">
        <v>387</v>
      </c>
      <c r="B8" s="112"/>
      <c r="C8" s="28"/>
      <c r="D8" s="18"/>
    </row>
    <row r="9" spans="1:4" s="19" customFormat="1" ht="12.75">
      <c r="A9" s="116" t="s">
        <v>134</v>
      </c>
      <c r="B9" s="141" t="s">
        <v>486</v>
      </c>
      <c r="C9" s="27" t="s">
        <v>323</v>
      </c>
      <c r="D9" s="18"/>
    </row>
    <row r="10" spans="1:2" ht="66">
      <c r="A10" s="42"/>
      <c r="B10" s="114" t="s">
        <v>293</v>
      </c>
    </row>
    <row r="11" spans="1:3" ht="12.75">
      <c r="A11" s="116" t="s">
        <v>134</v>
      </c>
      <c r="B11" s="114" t="s">
        <v>487</v>
      </c>
      <c r="C11" s="27" t="s">
        <v>377</v>
      </c>
    </row>
    <row r="12" spans="1:2" ht="66">
      <c r="A12" s="42"/>
      <c r="B12" s="114" t="s">
        <v>294</v>
      </c>
    </row>
    <row r="13" spans="1:3" ht="12.75">
      <c r="A13" s="116" t="s">
        <v>134</v>
      </c>
      <c r="B13" s="114" t="s">
        <v>451</v>
      </c>
      <c r="C13" s="27" t="s">
        <v>377</v>
      </c>
    </row>
    <row r="14" spans="1:2" ht="26.25">
      <c r="A14" s="42"/>
      <c r="B14" s="114" t="s">
        <v>135</v>
      </c>
    </row>
    <row r="15" spans="1:4" ht="14.25" customHeight="1">
      <c r="A15" s="116" t="s">
        <v>134</v>
      </c>
      <c r="B15" s="121" t="s">
        <v>488</v>
      </c>
      <c r="C15" s="38" t="s">
        <v>328</v>
      </c>
      <c r="D15" s="15" t="s">
        <v>167</v>
      </c>
    </row>
    <row r="16" spans="1:4" ht="39">
      <c r="A16" s="42"/>
      <c r="B16" s="114" t="s">
        <v>136</v>
      </c>
      <c r="C16" s="38"/>
      <c r="D16" s="15" t="s">
        <v>167</v>
      </c>
    </row>
    <row r="17" spans="1:4" ht="13.5" customHeight="1">
      <c r="A17" s="116" t="s">
        <v>134</v>
      </c>
      <c r="B17" s="121" t="s">
        <v>489</v>
      </c>
      <c r="C17" s="38" t="s">
        <v>328</v>
      </c>
      <c r="D17" s="15" t="s">
        <v>167</v>
      </c>
    </row>
    <row r="18" spans="1:4" ht="39">
      <c r="A18" s="42"/>
      <c r="B18" s="114" t="s">
        <v>137</v>
      </c>
      <c r="C18" s="38"/>
      <c r="D18" s="15" t="s">
        <v>167</v>
      </c>
    </row>
    <row r="19" spans="1:4" ht="14.25" customHeight="1">
      <c r="A19" s="116" t="s">
        <v>134</v>
      </c>
      <c r="B19" s="142" t="s">
        <v>92</v>
      </c>
      <c r="C19" s="38" t="s">
        <v>328</v>
      </c>
      <c r="D19" s="15" t="s">
        <v>167</v>
      </c>
    </row>
    <row r="20" spans="1:4" ht="26.25">
      <c r="A20" s="42"/>
      <c r="B20" s="114" t="s">
        <v>93</v>
      </c>
      <c r="C20" s="38"/>
      <c r="D20" s="15" t="s">
        <v>167</v>
      </c>
    </row>
    <row r="21" spans="1:4" ht="12.75">
      <c r="A21" s="116" t="s">
        <v>134</v>
      </c>
      <c r="B21" s="114" t="s">
        <v>490</v>
      </c>
      <c r="C21" s="30" t="s">
        <v>385</v>
      </c>
      <c r="D21" s="15" t="s">
        <v>167</v>
      </c>
    </row>
    <row r="22" spans="1:4" ht="26.25">
      <c r="A22" s="42"/>
      <c r="B22" s="114" t="s">
        <v>25</v>
      </c>
      <c r="C22" s="30"/>
      <c r="D22" s="15" t="s">
        <v>167</v>
      </c>
    </row>
    <row r="23" spans="1:3" ht="12.75">
      <c r="A23" s="116" t="s">
        <v>134</v>
      </c>
      <c r="B23" s="114" t="s">
        <v>491</v>
      </c>
      <c r="C23" s="27" t="s">
        <v>383</v>
      </c>
    </row>
    <row r="24" spans="1:2" ht="26.25">
      <c r="A24" s="42"/>
      <c r="B24" s="114" t="s">
        <v>26</v>
      </c>
    </row>
    <row r="25" spans="1:4" ht="12.75">
      <c r="A25" s="116" t="s">
        <v>134</v>
      </c>
      <c r="B25" s="121" t="s">
        <v>488</v>
      </c>
      <c r="C25" s="30" t="s">
        <v>385</v>
      </c>
      <c r="D25" s="15" t="s">
        <v>167</v>
      </c>
    </row>
    <row r="26" spans="1:4" ht="105">
      <c r="A26" s="42"/>
      <c r="B26" s="114" t="s">
        <v>27</v>
      </c>
      <c r="C26" s="30"/>
      <c r="D26" s="15" t="s">
        <v>167</v>
      </c>
    </row>
    <row r="27" spans="1:3" ht="12.75">
      <c r="A27" s="116" t="s">
        <v>134</v>
      </c>
      <c r="B27" s="114" t="s">
        <v>492</v>
      </c>
      <c r="C27" s="27" t="s">
        <v>324</v>
      </c>
    </row>
    <row r="28" spans="1:2" ht="39">
      <c r="A28" s="42"/>
      <c r="B28" s="114" t="s">
        <v>28</v>
      </c>
    </row>
    <row r="29" spans="1:4" ht="12.75">
      <c r="A29" s="116" t="s">
        <v>134</v>
      </c>
      <c r="B29" s="142" t="s">
        <v>500</v>
      </c>
      <c r="C29" s="30">
        <f>A5</f>
        <v>0</v>
      </c>
      <c r="D29" s="15" t="s">
        <v>167</v>
      </c>
    </row>
    <row r="30" spans="1:4" ht="26.25">
      <c r="A30" s="42"/>
      <c r="B30" s="114" t="s">
        <v>306</v>
      </c>
      <c r="C30" s="30"/>
      <c r="D30" s="15" t="s">
        <v>167</v>
      </c>
    </row>
    <row r="31" spans="1:4" ht="12.75">
      <c r="A31" s="116" t="s">
        <v>134</v>
      </c>
      <c r="B31" s="114" t="s">
        <v>493</v>
      </c>
      <c r="C31" s="30">
        <f>C29</f>
        <v>0</v>
      </c>
      <c r="D31" s="15" t="s">
        <v>167</v>
      </c>
    </row>
    <row r="32" spans="1:4" ht="26.25" customHeight="1">
      <c r="A32" s="42"/>
      <c r="B32" s="114" t="s">
        <v>215</v>
      </c>
      <c r="C32" s="30"/>
      <c r="D32" s="15" t="s">
        <v>167</v>
      </c>
    </row>
    <row r="33" spans="1:3" ht="26.25">
      <c r="A33" s="116"/>
      <c r="B33" s="114" t="s">
        <v>307</v>
      </c>
      <c r="C33" s="30"/>
    </row>
    <row r="34" spans="1:3" ht="26.25">
      <c r="A34" s="116"/>
      <c r="B34" s="114" t="s">
        <v>308</v>
      </c>
      <c r="C34" s="30"/>
    </row>
    <row r="35" spans="1:4" ht="12.75">
      <c r="A35" s="116" t="s">
        <v>134</v>
      </c>
      <c r="B35" s="114" t="s">
        <v>501</v>
      </c>
      <c r="C35" s="30">
        <f>A5</f>
        <v>0</v>
      </c>
      <c r="D35" s="15" t="s">
        <v>167</v>
      </c>
    </row>
    <row r="36" spans="1:4" ht="118.5">
      <c r="A36" s="42"/>
      <c r="B36" s="114" t="s">
        <v>309</v>
      </c>
      <c r="C36" s="30"/>
      <c r="D36" s="15" t="s">
        <v>167</v>
      </c>
    </row>
    <row r="37" spans="1:3" ht="12.75" hidden="1">
      <c r="A37" s="135"/>
      <c r="B37" s="114"/>
      <c r="C37" s="27" t="s">
        <v>324</v>
      </c>
    </row>
    <row r="38" spans="1:2" ht="39">
      <c r="A38" s="116"/>
      <c r="B38" s="114" t="s">
        <v>310</v>
      </c>
    </row>
    <row r="39" spans="1:3" ht="12.75" hidden="1">
      <c r="A39" s="116"/>
      <c r="B39" s="114"/>
      <c r="C39" s="27" t="s">
        <v>323</v>
      </c>
    </row>
    <row r="40" spans="1:2" ht="41.25" customHeight="1">
      <c r="A40" s="42"/>
      <c r="B40" s="114" t="s">
        <v>311</v>
      </c>
    </row>
    <row r="41" spans="1:3" ht="12.75" hidden="1">
      <c r="A41" s="116"/>
      <c r="B41" s="114"/>
      <c r="C41" s="27" t="s">
        <v>377</v>
      </c>
    </row>
    <row r="42" spans="1:2" ht="39">
      <c r="A42" s="42"/>
      <c r="B42" s="114" t="s">
        <v>312</v>
      </c>
    </row>
    <row r="43" spans="1:4" ht="12.75">
      <c r="A43" s="116" t="s">
        <v>134</v>
      </c>
      <c r="B43" s="114" t="s">
        <v>217</v>
      </c>
      <c r="C43" s="30">
        <f>A5</f>
        <v>0</v>
      </c>
      <c r="D43" s="15" t="s">
        <v>167</v>
      </c>
    </row>
    <row r="44" spans="1:4" ht="26.25">
      <c r="A44" s="42"/>
      <c r="B44" s="114" t="s">
        <v>106</v>
      </c>
      <c r="C44" s="30"/>
      <c r="D44" s="15" t="s">
        <v>167</v>
      </c>
    </row>
    <row r="45" spans="1:4" ht="12.75">
      <c r="A45" s="116" t="s">
        <v>134</v>
      </c>
      <c r="B45" s="121" t="s">
        <v>53</v>
      </c>
      <c r="C45" s="27" t="s">
        <v>325</v>
      </c>
      <c r="D45" s="15" t="s">
        <v>167</v>
      </c>
    </row>
    <row r="46" spans="1:4" ht="105">
      <c r="A46" s="42"/>
      <c r="B46" s="114" t="s">
        <v>431</v>
      </c>
      <c r="C46" s="27" t="s">
        <v>325</v>
      </c>
      <c r="D46" s="52" t="s">
        <v>167</v>
      </c>
    </row>
    <row r="47" spans="1:4" ht="118.5">
      <c r="A47" s="42"/>
      <c r="B47" s="121" t="s">
        <v>313</v>
      </c>
      <c r="D47" s="52" t="s">
        <v>167</v>
      </c>
    </row>
    <row r="48" spans="1:4" ht="12.75" hidden="1">
      <c r="A48" s="116"/>
      <c r="B48" s="114"/>
      <c r="C48" s="34" t="s">
        <v>494</v>
      </c>
      <c r="D48" s="52" t="s">
        <v>167</v>
      </c>
    </row>
    <row r="49" spans="1:4" ht="39">
      <c r="A49" s="42"/>
      <c r="B49" s="114" t="s">
        <v>441</v>
      </c>
      <c r="C49" s="34"/>
      <c r="D49" s="15" t="s">
        <v>167</v>
      </c>
    </row>
    <row r="50" spans="1:3" ht="12.75" customHeight="1">
      <c r="A50" s="116" t="s">
        <v>134</v>
      </c>
      <c r="B50" s="114" t="s">
        <v>458</v>
      </c>
      <c r="C50" s="34" t="s">
        <v>459</v>
      </c>
    </row>
    <row r="51" spans="1:3" ht="26.25">
      <c r="A51" s="42"/>
      <c r="B51" s="114" t="s">
        <v>432</v>
      </c>
      <c r="C51" s="34"/>
    </row>
    <row r="52" spans="1:3" ht="12.75" hidden="1">
      <c r="A52" s="116"/>
      <c r="B52" s="114"/>
      <c r="C52" s="36" t="s">
        <v>460</v>
      </c>
    </row>
    <row r="53" spans="1:3" ht="26.25">
      <c r="A53" s="116"/>
      <c r="B53" s="114" t="s">
        <v>433</v>
      </c>
      <c r="C53" s="34"/>
    </row>
    <row r="54" spans="1:4" ht="12.75">
      <c r="A54" s="116" t="s">
        <v>134</v>
      </c>
      <c r="B54" s="114" t="s">
        <v>499</v>
      </c>
      <c r="C54" s="27" t="e">
        <f>"zie "&amp;#REF!</f>
        <v>#REF!</v>
      </c>
      <c r="D54" s="15" t="s">
        <v>167</v>
      </c>
    </row>
    <row r="55" spans="1:4" ht="26.25">
      <c r="A55" s="42"/>
      <c r="B55" s="114" t="s">
        <v>434</v>
      </c>
      <c r="D55" s="15" t="s">
        <v>167</v>
      </c>
    </row>
    <row r="56" spans="1:4" ht="12.75">
      <c r="A56" s="116" t="s">
        <v>134</v>
      </c>
      <c r="B56" s="137" t="s">
        <v>498</v>
      </c>
      <c r="C56" s="27" t="str">
        <f>"zie "&amp;A33</f>
        <v>zie </v>
      </c>
      <c r="D56" s="15" t="s">
        <v>167</v>
      </c>
    </row>
    <row r="57" spans="1:254" ht="12.75">
      <c r="A57" s="42"/>
      <c r="B57" s="141" t="s">
        <v>435</v>
      </c>
      <c r="D57" s="53" t="s">
        <v>167</v>
      </c>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row>
    <row r="58" spans="1:254" ht="12.75">
      <c r="A58" s="116" t="s">
        <v>134</v>
      </c>
      <c r="B58" s="148" t="s">
        <v>495</v>
      </c>
      <c r="C58" s="41" t="s">
        <v>377</v>
      </c>
      <c r="D58" s="53"/>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4"/>
      <c r="EV58" s="14"/>
      <c r="EW58" s="14"/>
      <c r="EX58" s="14"/>
      <c r="EY58" s="14"/>
      <c r="EZ58" s="14"/>
      <c r="FA58" s="14"/>
      <c r="FB58" s="14"/>
      <c r="FC58" s="14"/>
      <c r="FD58" s="14"/>
      <c r="FE58" s="14"/>
      <c r="FF58" s="14"/>
      <c r="FG58" s="14"/>
      <c r="FH58" s="14"/>
      <c r="FI58" s="14"/>
      <c r="FJ58" s="14"/>
      <c r="FK58" s="14"/>
      <c r="FL58" s="14"/>
      <c r="FM58" s="14"/>
      <c r="FN58" s="14"/>
      <c r="FO58" s="14"/>
      <c r="FP58" s="14"/>
      <c r="FQ58" s="14"/>
      <c r="FR58" s="14"/>
      <c r="FS58" s="14"/>
      <c r="FT58" s="14"/>
      <c r="FU58" s="14"/>
      <c r="FV58" s="14"/>
      <c r="FW58" s="14"/>
      <c r="FX58" s="14"/>
      <c r="FY58" s="14"/>
      <c r="FZ58" s="14"/>
      <c r="GA58" s="14"/>
      <c r="GB58" s="14"/>
      <c r="GC58" s="14"/>
      <c r="GD58" s="14"/>
      <c r="GE58" s="14"/>
      <c r="GF58" s="14"/>
      <c r="GG58" s="14"/>
      <c r="GH58" s="14"/>
      <c r="GI58" s="14"/>
      <c r="GJ58" s="14"/>
      <c r="GK58" s="14"/>
      <c r="GL58" s="14"/>
      <c r="GM58" s="14"/>
      <c r="GN58" s="14"/>
      <c r="GO58" s="14"/>
      <c r="GP58" s="14"/>
      <c r="GQ58" s="14"/>
      <c r="GR58" s="14"/>
      <c r="GS58" s="14"/>
      <c r="GT58" s="14"/>
      <c r="GU58" s="14"/>
      <c r="GV58" s="14"/>
      <c r="GW58" s="14"/>
      <c r="GX58" s="14"/>
      <c r="GY58" s="14"/>
      <c r="GZ58" s="14"/>
      <c r="HA58" s="14"/>
      <c r="HB58" s="14"/>
      <c r="HC58" s="14"/>
      <c r="HD58" s="14"/>
      <c r="HE58" s="14"/>
      <c r="HF58" s="14"/>
      <c r="HG58" s="14"/>
      <c r="HH58" s="14"/>
      <c r="HI58" s="14"/>
      <c r="HJ58" s="14"/>
      <c r="HK58" s="14"/>
      <c r="HL58" s="14"/>
      <c r="HM58" s="14"/>
      <c r="HN58" s="14"/>
      <c r="HO58" s="14"/>
      <c r="HP58" s="14"/>
      <c r="HQ58" s="14"/>
      <c r="HR58" s="14"/>
      <c r="HS58" s="14"/>
      <c r="HT58" s="14"/>
      <c r="HU58" s="14"/>
      <c r="HV58" s="14"/>
      <c r="HW58" s="14"/>
      <c r="HX58" s="14"/>
      <c r="HY58" s="14"/>
      <c r="HZ58" s="14"/>
      <c r="IA58" s="14"/>
      <c r="IB58" s="14"/>
      <c r="IC58" s="14"/>
      <c r="ID58" s="14"/>
      <c r="IE58" s="14"/>
      <c r="IF58" s="14"/>
      <c r="IG58" s="14"/>
      <c r="IH58" s="14"/>
      <c r="II58" s="14"/>
      <c r="IJ58" s="14"/>
      <c r="IK58" s="14"/>
      <c r="IL58" s="14"/>
      <c r="IM58" s="14"/>
      <c r="IN58" s="14"/>
      <c r="IO58" s="14"/>
      <c r="IP58" s="14"/>
      <c r="IQ58" s="14"/>
      <c r="IR58" s="14"/>
      <c r="IS58" s="14"/>
      <c r="IT58" s="14"/>
    </row>
    <row r="59" spans="1:254" ht="64.5" customHeight="1">
      <c r="A59" s="126"/>
      <c r="B59" s="117" t="s">
        <v>436</v>
      </c>
      <c r="D59" s="53"/>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14"/>
      <c r="EA59" s="14"/>
      <c r="EB59" s="14"/>
      <c r="EC59" s="14"/>
      <c r="ED59" s="14"/>
      <c r="EE59" s="14"/>
      <c r="EF59" s="14"/>
      <c r="EG59" s="14"/>
      <c r="EH59" s="14"/>
      <c r="EI59" s="14"/>
      <c r="EJ59" s="14"/>
      <c r="EK59" s="14"/>
      <c r="EL59" s="14"/>
      <c r="EM59" s="14"/>
      <c r="EN59" s="14"/>
      <c r="EO59" s="14"/>
      <c r="EP59" s="14"/>
      <c r="EQ59" s="14"/>
      <c r="ER59" s="14"/>
      <c r="ES59" s="14"/>
      <c r="ET59" s="14"/>
      <c r="EU59" s="14"/>
      <c r="EV59" s="14"/>
      <c r="EW59" s="14"/>
      <c r="EX59" s="14"/>
      <c r="EY59" s="14"/>
      <c r="EZ59" s="14"/>
      <c r="FA59" s="14"/>
      <c r="FB59" s="14"/>
      <c r="FC59" s="14"/>
      <c r="FD59" s="14"/>
      <c r="FE59" s="14"/>
      <c r="FF59" s="14"/>
      <c r="FG59" s="14"/>
      <c r="FH59" s="14"/>
      <c r="FI59" s="14"/>
      <c r="FJ59" s="14"/>
      <c r="FK59" s="14"/>
      <c r="FL59" s="14"/>
      <c r="FM59" s="14"/>
      <c r="FN59" s="14"/>
      <c r="FO59" s="14"/>
      <c r="FP59" s="14"/>
      <c r="FQ59" s="14"/>
      <c r="FR59" s="14"/>
      <c r="FS59" s="14"/>
      <c r="FT59" s="14"/>
      <c r="FU59" s="14"/>
      <c r="FV59" s="14"/>
      <c r="FW59" s="14"/>
      <c r="FX59" s="14"/>
      <c r="FY59" s="14"/>
      <c r="FZ59" s="14"/>
      <c r="GA59" s="14"/>
      <c r="GB59" s="14"/>
      <c r="GC59" s="14"/>
      <c r="GD59" s="14"/>
      <c r="GE59" s="14"/>
      <c r="GF59" s="14"/>
      <c r="GG59" s="14"/>
      <c r="GH59" s="14"/>
      <c r="GI59" s="14"/>
      <c r="GJ59" s="14"/>
      <c r="GK59" s="14"/>
      <c r="GL59" s="14"/>
      <c r="GM59" s="14"/>
      <c r="GN59" s="14"/>
      <c r="GO59" s="14"/>
      <c r="GP59" s="14"/>
      <c r="GQ59" s="14"/>
      <c r="GR59" s="14"/>
      <c r="GS59" s="14"/>
      <c r="GT59" s="14"/>
      <c r="GU59" s="14"/>
      <c r="GV59" s="14"/>
      <c r="GW59" s="14"/>
      <c r="GX59" s="14"/>
      <c r="GY59" s="14"/>
      <c r="GZ59" s="14"/>
      <c r="HA59" s="14"/>
      <c r="HB59" s="14"/>
      <c r="HC59" s="14"/>
      <c r="HD59" s="14"/>
      <c r="HE59" s="14"/>
      <c r="HF59" s="14"/>
      <c r="HG59" s="14"/>
      <c r="HH59" s="14"/>
      <c r="HI59" s="14"/>
      <c r="HJ59" s="14"/>
      <c r="HK59" s="14"/>
      <c r="HL59" s="14"/>
      <c r="HM59" s="14"/>
      <c r="HN59" s="14"/>
      <c r="HO59" s="14"/>
      <c r="HP59" s="14"/>
      <c r="HQ59" s="14"/>
      <c r="HR59" s="14"/>
      <c r="HS59" s="14"/>
      <c r="HT59" s="14"/>
      <c r="HU59" s="14"/>
      <c r="HV59" s="14"/>
      <c r="HW59" s="14"/>
      <c r="HX59" s="14"/>
      <c r="HY59" s="14"/>
      <c r="HZ59" s="14"/>
      <c r="IA59" s="14"/>
      <c r="IB59" s="14"/>
      <c r="IC59" s="14"/>
      <c r="ID59" s="14"/>
      <c r="IE59" s="14"/>
      <c r="IF59" s="14"/>
      <c r="IG59" s="14"/>
      <c r="IH59" s="14"/>
      <c r="II59" s="14"/>
      <c r="IJ59" s="14"/>
      <c r="IK59" s="14"/>
      <c r="IL59" s="14"/>
      <c r="IM59" s="14"/>
      <c r="IN59" s="14"/>
      <c r="IO59" s="14"/>
      <c r="IP59" s="14"/>
      <c r="IQ59" s="14"/>
      <c r="IR59" s="14"/>
      <c r="IS59" s="14"/>
      <c r="IT59" s="14"/>
    </row>
    <row r="60" spans="1:3" ht="12.75">
      <c r="A60" s="116" t="s">
        <v>134</v>
      </c>
      <c r="B60" s="114" t="s">
        <v>496</v>
      </c>
      <c r="C60" s="27" t="s">
        <v>377</v>
      </c>
    </row>
    <row r="61" spans="1:2" ht="144" customHeight="1">
      <c r="A61" s="42"/>
      <c r="B61" s="114" t="s">
        <v>152</v>
      </c>
    </row>
    <row r="62" spans="1:4" ht="15.75" customHeight="1">
      <c r="A62" s="116" t="s">
        <v>134</v>
      </c>
      <c r="B62" s="114" t="s">
        <v>483</v>
      </c>
      <c r="C62" s="38" t="s">
        <v>326</v>
      </c>
      <c r="D62" s="15" t="s">
        <v>167</v>
      </c>
    </row>
    <row r="63" spans="1:4" ht="52.5">
      <c r="A63" s="42"/>
      <c r="B63" s="114" t="s">
        <v>153</v>
      </c>
      <c r="C63" s="38"/>
      <c r="D63" s="15" t="s">
        <v>167</v>
      </c>
    </row>
    <row r="64" spans="1:4" ht="52.5">
      <c r="A64" s="120"/>
      <c r="B64" s="149" t="s">
        <v>154</v>
      </c>
      <c r="C64" s="34" t="s">
        <v>327</v>
      </c>
      <c r="D64" s="15" t="s">
        <v>167</v>
      </c>
    </row>
    <row r="67" ht="12.75">
      <c r="B67" s="26"/>
    </row>
    <row r="68" ht="12.75">
      <c r="B68" s="26"/>
    </row>
    <row r="69" ht="12.75">
      <c r="B69" s="26"/>
    </row>
    <row r="70" ht="12.75">
      <c r="B70" s="26"/>
    </row>
    <row r="71" ht="12.75">
      <c r="B71" s="26"/>
    </row>
    <row r="72" ht="12.75">
      <c r="B72" s="26"/>
    </row>
    <row r="73" ht="12.75">
      <c r="B73" s="26"/>
    </row>
    <row r="74" ht="12.75">
      <c r="B74" s="26"/>
    </row>
    <row r="75" ht="12.75">
      <c r="B75" s="26"/>
    </row>
    <row r="76" ht="12.75">
      <c r="B76" s="26"/>
    </row>
    <row r="77" ht="12.75">
      <c r="B77" s="26"/>
    </row>
    <row r="78" ht="12.75">
      <c r="B78" s="26"/>
    </row>
  </sheetData>
  <sheetProtection/>
  <printOptions/>
  <pageMargins left="0.7874015748031497" right="0.7874015748031497" top="0.984251968503937" bottom="0.984251968503937" header="0.5118110236220472" footer="0.5118110236220472"/>
  <pageSetup horizontalDpi="300" verticalDpi="300" orientation="portrait" scale="84" r:id="rId1"/>
  <headerFooter alignWithMargins="0">
    <oddHeader>&amp;RBijlage 3-2: Analyse van de aspecten</oddHeader>
    <oddFooter>&amp;CMethodiek BPBP</oddFooter>
  </headerFooter>
  <rowBreaks count="3" manualBreakCount="3">
    <brk id="26" max="255" man="1"/>
    <brk id="49" max="1" man="1"/>
    <brk id="64"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F33"/>
  <sheetViews>
    <sheetView zoomScalePageLayoutView="0" workbookViewId="0" topLeftCell="A1">
      <selection activeCell="B16" sqref="B16"/>
    </sheetView>
  </sheetViews>
  <sheetFormatPr defaultColWidth="9.140625" defaultRowHeight="12.75"/>
  <cols>
    <col min="1" max="1" width="18.8515625" style="16" customWidth="1"/>
    <col min="2" max="2" width="85.7109375" style="16" customWidth="1"/>
    <col min="3" max="3" width="12.140625" style="27" hidden="1" customWidth="1"/>
    <col min="4" max="4" width="0" style="16" hidden="1" customWidth="1"/>
    <col min="5" max="16384" width="9.140625" style="16" customWidth="1"/>
  </cols>
  <sheetData>
    <row r="1" spans="1:2" ht="15">
      <c r="A1" s="109" t="s">
        <v>274</v>
      </c>
      <c r="B1" s="110" t="s">
        <v>15</v>
      </c>
    </row>
    <row r="2" spans="1:3" s="19" customFormat="1" ht="12.75">
      <c r="A2" s="111" t="s">
        <v>208</v>
      </c>
      <c r="B2" s="112" t="s">
        <v>339</v>
      </c>
      <c r="C2" s="28"/>
    </row>
    <row r="3" spans="1:2" ht="26.25">
      <c r="A3" s="116" t="s">
        <v>134</v>
      </c>
      <c r="B3" s="114" t="s">
        <v>155</v>
      </c>
    </row>
    <row r="4" spans="1:2" ht="105">
      <c r="A4" s="116" t="s">
        <v>134</v>
      </c>
      <c r="B4" s="125" t="s">
        <v>113</v>
      </c>
    </row>
    <row r="5" spans="1:6" s="19" customFormat="1" ht="12.75">
      <c r="A5" s="105" t="s">
        <v>133</v>
      </c>
      <c r="B5" s="147"/>
      <c r="C5" s="28" t="s">
        <v>375</v>
      </c>
      <c r="D5" s="28"/>
      <c r="E5" s="28"/>
      <c r="F5" s="28"/>
    </row>
    <row r="6" spans="1:4" ht="52.5">
      <c r="A6" s="150"/>
      <c r="B6" s="192" t="s">
        <v>240</v>
      </c>
      <c r="C6" s="30" t="s">
        <v>42</v>
      </c>
      <c r="D6" s="15"/>
    </row>
    <row r="7" spans="1:3" s="19" customFormat="1" ht="12.75">
      <c r="A7" s="111" t="s">
        <v>386</v>
      </c>
      <c r="B7" s="112"/>
      <c r="C7" s="28"/>
    </row>
    <row r="8" spans="1:2" ht="26.25">
      <c r="A8" s="42"/>
      <c r="B8" s="114" t="s">
        <v>241</v>
      </c>
    </row>
    <row r="9" spans="1:3" s="19" customFormat="1" ht="12.75">
      <c r="A9" s="111" t="s">
        <v>387</v>
      </c>
      <c r="B9" s="112"/>
      <c r="C9" s="28"/>
    </row>
    <row r="10" spans="1:4" s="19" customFormat="1" ht="12.75">
      <c r="A10" s="116" t="s">
        <v>134</v>
      </c>
      <c r="B10" s="141" t="s">
        <v>463</v>
      </c>
      <c r="C10" s="30" t="str">
        <f>A3&amp;" + "&amp;A6</f>
        <v> -  + </v>
      </c>
      <c r="D10" s="16"/>
    </row>
    <row r="11" spans="1:3" ht="26.25">
      <c r="A11" s="42"/>
      <c r="B11" s="114" t="s">
        <v>257</v>
      </c>
      <c r="C11" s="30"/>
    </row>
    <row r="12" spans="1:3" ht="12.75">
      <c r="A12" s="116" t="s">
        <v>134</v>
      </c>
      <c r="B12" s="114" t="s">
        <v>217</v>
      </c>
      <c r="C12" s="30">
        <f>A6</f>
        <v>0</v>
      </c>
    </row>
    <row r="13" spans="1:3" ht="26.25">
      <c r="A13" s="42"/>
      <c r="B13" s="114" t="s">
        <v>106</v>
      </c>
      <c r="C13" s="30"/>
    </row>
    <row r="14" spans="1:3" ht="12.75">
      <c r="A14" s="116" t="s">
        <v>134</v>
      </c>
      <c r="B14" s="121" t="s">
        <v>270</v>
      </c>
      <c r="C14" s="30">
        <f>A6</f>
        <v>0</v>
      </c>
    </row>
    <row r="15" spans="1:3" ht="12.75">
      <c r="A15" s="42"/>
      <c r="B15" s="141" t="s">
        <v>435</v>
      </c>
      <c r="C15" s="30"/>
    </row>
    <row r="16" spans="1:4" ht="12.75">
      <c r="A16" s="116" t="s">
        <v>134</v>
      </c>
      <c r="B16" s="141" t="s">
        <v>464</v>
      </c>
      <c r="C16" s="30" t="str">
        <f>A4&amp;" + "&amp;A6</f>
        <v> -  + </v>
      </c>
      <c r="D16" s="25" t="s">
        <v>110</v>
      </c>
    </row>
    <row r="17" spans="1:4" ht="26.25">
      <c r="A17" s="42"/>
      <c r="B17" s="114" t="s">
        <v>258</v>
      </c>
      <c r="C17" s="30"/>
      <c r="D17" s="25"/>
    </row>
    <row r="18" spans="1:4" ht="12.75">
      <c r="A18" s="116" t="s">
        <v>134</v>
      </c>
      <c r="B18" s="114" t="s">
        <v>465</v>
      </c>
      <c r="C18" s="30" t="str">
        <f>A4&amp;" + "&amp;A6</f>
        <v> -  + </v>
      </c>
      <c r="D18" s="16" t="s">
        <v>108</v>
      </c>
    </row>
    <row r="19" spans="1:3" ht="26.25">
      <c r="A19" s="42"/>
      <c r="B19" s="114" t="s">
        <v>259</v>
      </c>
      <c r="C19" s="30"/>
    </row>
    <row r="20" spans="1:4" ht="12.75">
      <c r="A20" s="116" t="s">
        <v>134</v>
      </c>
      <c r="B20" s="114" t="s">
        <v>466</v>
      </c>
      <c r="C20" s="30">
        <f>A6</f>
        <v>0</v>
      </c>
      <c r="D20" s="16" t="s">
        <v>109</v>
      </c>
    </row>
    <row r="21" spans="1:2" ht="26.25">
      <c r="A21" s="23"/>
      <c r="B21" s="123" t="s">
        <v>269</v>
      </c>
    </row>
    <row r="24" ht="12.75">
      <c r="A24" s="25"/>
    </row>
    <row r="25" ht="12.75">
      <c r="B25" s="26"/>
    </row>
    <row r="26" ht="12.75">
      <c r="B26" s="26"/>
    </row>
    <row r="27" ht="12.75">
      <c r="B27" s="26"/>
    </row>
    <row r="28" ht="12.75">
      <c r="B28" s="26"/>
    </row>
    <row r="29" ht="12.75">
      <c r="B29" s="26"/>
    </row>
    <row r="30" ht="12.75">
      <c r="B30" s="26"/>
    </row>
    <row r="31" ht="12.75">
      <c r="B31" s="26"/>
    </row>
    <row r="32" ht="12.75">
      <c r="B32" s="26"/>
    </row>
    <row r="33" ht="12.75">
      <c r="B33" s="26"/>
    </row>
  </sheetData>
  <sheetProtection/>
  <printOptions/>
  <pageMargins left="0.7874015748031497" right="0.7874015748031497" top="0.984251968503937" bottom="0.984251968503937" header="0.5118110236220472" footer="0.5118110236220472"/>
  <pageSetup fitToHeight="1" fitToWidth="1" horizontalDpi="300" verticalDpi="300" orientation="portrait" scale="85" r:id="rId1"/>
  <headerFooter alignWithMargins="0">
    <oddHeader>&amp;RBijlage 3-2: Analyse van de aspecten</oddHeader>
    <oddFooter>&amp;CMethodiek BPBP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C13"/>
  <sheetViews>
    <sheetView zoomScalePageLayoutView="0" workbookViewId="0" topLeftCell="A1">
      <selection activeCell="B11" sqref="B11"/>
    </sheetView>
  </sheetViews>
  <sheetFormatPr defaultColWidth="9.140625" defaultRowHeight="12.75"/>
  <cols>
    <col min="1" max="1" width="18.57421875" style="16" customWidth="1"/>
    <col min="2" max="2" width="85.7109375" style="16" customWidth="1"/>
    <col min="3" max="3" width="12.140625" style="27" hidden="1" customWidth="1"/>
    <col min="4" max="16384" width="9.140625" style="16" customWidth="1"/>
  </cols>
  <sheetData>
    <row r="1" spans="1:2" ht="15">
      <c r="A1" s="151" t="s">
        <v>274</v>
      </c>
      <c r="B1" s="152" t="s">
        <v>16</v>
      </c>
    </row>
    <row r="2" spans="1:3" s="19" customFormat="1" ht="12.75">
      <c r="A2" s="111" t="s">
        <v>208</v>
      </c>
      <c r="B2" s="129" t="s">
        <v>340</v>
      </c>
      <c r="C2" s="28"/>
    </row>
    <row r="3" spans="1:2" ht="39">
      <c r="A3" s="23"/>
      <c r="B3" s="125" t="s">
        <v>437</v>
      </c>
    </row>
    <row r="4" spans="1:3" s="19" customFormat="1" ht="12.75">
      <c r="A4" s="128" t="s">
        <v>133</v>
      </c>
      <c r="B4" s="129"/>
      <c r="C4" s="112" t="s">
        <v>375</v>
      </c>
    </row>
    <row r="5" spans="1:3" ht="26.25">
      <c r="A5" s="153"/>
      <c r="B5" s="125" t="s">
        <v>438</v>
      </c>
      <c r="C5" s="30" t="s">
        <v>381</v>
      </c>
    </row>
    <row r="6" spans="1:3" s="19" customFormat="1" ht="12.75">
      <c r="A6" s="128" t="s">
        <v>386</v>
      </c>
      <c r="B6" s="141"/>
      <c r="C6" s="28"/>
    </row>
    <row r="7" spans="1:3" s="19" customFormat="1" ht="12.75">
      <c r="A7" s="111" t="s">
        <v>387</v>
      </c>
      <c r="B7" s="115"/>
      <c r="C7" s="28"/>
    </row>
    <row r="8" spans="1:3" s="19" customFormat="1" ht="12.75">
      <c r="A8" s="116" t="s">
        <v>134</v>
      </c>
      <c r="B8" s="141" t="s">
        <v>483</v>
      </c>
      <c r="C8" s="30">
        <f>A5</f>
        <v>0</v>
      </c>
    </row>
    <row r="9" spans="1:3" ht="26.25">
      <c r="A9" s="135"/>
      <c r="B9" s="114" t="s">
        <v>368</v>
      </c>
      <c r="C9" s="30"/>
    </row>
    <row r="10" spans="1:3" ht="12.75">
      <c r="A10" s="116" t="s">
        <v>134</v>
      </c>
      <c r="B10" s="121" t="s">
        <v>484</v>
      </c>
      <c r="C10" s="30">
        <f>A5</f>
        <v>0</v>
      </c>
    </row>
    <row r="11" spans="1:3" ht="39">
      <c r="A11" s="135"/>
      <c r="B11" s="114" t="s">
        <v>369</v>
      </c>
      <c r="C11" s="30"/>
    </row>
    <row r="12" spans="1:3" ht="12.75">
      <c r="A12" s="116" t="s">
        <v>134</v>
      </c>
      <c r="B12" s="114" t="s">
        <v>220</v>
      </c>
      <c r="C12" s="30">
        <f>A5</f>
        <v>0</v>
      </c>
    </row>
    <row r="13" spans="1:3" ht="26.25">
      <c r="A13" s="136"/>
      <c r="B13" s="123" t="s">
        <v>219</v>
      </c>
      <c r="C13" s="16"/>
    </row>
  </sheetData>
  <sheetProtection/>
  <printOptions/>
  <pageMargins left="0.7480314960629921" right="0.7480314960629921" top="0.984251968503937" bottom="0.984251968503937" header="0.5118110236220472" footer="0.5118110236220472"/>
  <pageSetup fitToHeight="1" fitToWidth="1" horizontalDpi="300" verticalDpi="300" orientation="portrait" paperSize="9" scale="83" r:id="rId1"/>
  <headerFooter alignWithMargins="0">
    <oddHeader>&amp;RBijlage 3-2: Analyse van de aspecten</oddHeader>
    <oddFooter>&amp;CMethodiek BPBP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C15"/>
  <sheetViews>
    <sheetView zoomScalePageLayoutView="0" workbookViewId="0" topLeftCell="A1">
      <selection activeCell="A9" sqref="A9"/>
    </sheetView>
  </sheetViews>
  <sheetFormatPr defaultColWidth="9.140625" defaultRowHeight="12.75"/>
  <cols>
    <col min="1" max="1" width="18.57421875" style="16" customWidth="1"/>
    <col min="2" max="2" width="85.7109375" style="16" customWidth="1"/>
    <col min="3" max="3" width="12.140625" style="27" hidden="1" customWidth="1"/>
    <col min="4" max="16384" width="9.140625" style="16" customWidth="1"/>
  </cols>
  <sheetData>
    <row r="1" spans="1:2" ht="15">
      <c r="A1" s="109" t="s">
        <v>274</v>
      </c>
      <c r="B1" s="110" t="s">
        <v>17</v>
      </c>
    </row>
    <row r="2" spans="1:3" s="19" customFormat="1" ht="12.75">
      <c r="A2" s="111" t="s">
        <v>208</v>
      </c>
      <c r="B2" s="112" t="s">
        <v>341</v>
      </c>
      <c r="C2" s="28"/>
    </row>
    <row r="3" spans="1:2" ht="52.5" customHeight="1">
      <c r="A3" s="23"/>
      <c r="B3" s="125" t="s">
        <v>370</v>
      </c>
    </row>
    <row r="4" spans="1:3" s="19" customFormat="1" ht="12.75">
      <c r="A4" s="128" t="s">
        <v>133</v>
      </c>
      <c r="B4" s="129"/>
      <c r="C4" s="28" t="s">
        <v>375</v>
      </c>
    </row>
    <row r="5" spans="1:3" ht="39">
      <c r="A5" s="153"/>
      <c r="B5" s="125" t="s">
        <v>247</v>
      </c>
      <c r="C5" s="38" t="s">
        <v>381</v>
      </c>
    </row>
    <row r="6" spans="1:3" s="19" customFormat="1" ht="12.75">
      <c r="A6" s="130" t="s">
        <v>386</v>
      </c>
      <c r="B6" s="141"/>
      <c r="C6" s="28"/>
    </row>
    <row r="7" spans="1:3" s="19" customFormat="1" ht="12.75">
      <c r="A7" s="128" t="s">
        <v>387</v>
      </c>
      <c r="B7" s="115"/>
      <c r="C7" s="28"/>
    </row>
    <row r="8" spans="1:3" ht="131.25" customHeight="1">
      <c r="A8" s="116" t="s">
        <v>134</v>
      </c>
      <c r="B8" s="114" t="s">
        <v>138</v>
      </c>
      <c r="C8" s="27" t="s">
        <v>377</v>
      </c>
    </row>
    <row r="9" spans="1:3" ht="26.25">
      <c r="A9" s="116" t="s">
        <v>134</v>
      </c>
      <c r="B9" s="114" t="s">
        <v>139</v>
      </c>
      <c r="C9" s="27" t="s">
        <v>377</v>
      </c>
    </row>
    <row r="10" spans="1:3" ht="52.5">
      <c r="A10" s="116" t="s">
        <v>134</v>
      </c>
      <c r="B10" s="114" t="s">
        <v>140</v>
      </c>
      <c r="C10" s="30">
        <f>A5</f>
        <v>0</v>
      </c>
    </row>
    <row r="11" spans="1:3" ht="12.75">
      <c r="A11" s="120" t="s">
        <v>134</v>
      </c>
      <c r="B11" s="146" t="s">
        <v>141</v>
      </c>
      <c r="C11" s="27" t="str">
        <f>"Deel van "&amp;A9</f>
        <v>Deel van  - </v>
      </c>
    </row>
    <row r="15" ht="12.75">
      <c r="B15" s="26"/>
    </row>
  </sheetData>
  <sheetProtection/>
  <printOptions/>
  <pageMargins left="0.7480314960629921" right="0.7480314960629921" top="0.984251968503937" bottom="0.984251968503937" header="0.5118110236220472" footer="0.5118110236220472"/>
  <pageSetup fitToHeight="1" fitToWidth="1" horizontalDpi="300" verticalDpi="300" orientation="portrait" paperSize="9" scale="83" r:id="rId1"/>
  <headerFooter alignWithMargins="0">
    <oddHeader>&amp;RBijlage 3-2: Analyse van de aspecten</oddHeader>
    <oddFooter>&amp;CMethodiek BPBP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D32"/>
  <sheetViews>
    <sheetView zoomScalePageLayoutView="0" workbookViewId="0" topLeftCell="A1">
      <selection activeCell="B5" sqref="B5"/>
    </sheetView>
  </sheetViews>
  <sheetFormatPr defaultColWidth="9.140625" defaultRowHeight="12.75"/>
  <cols>
    <col min="1" max="1" width="18.7109375" style="16" customWidth="1"/>
    <col min="2" max="2" width="85.7109375" style="16" customWidth="1"/>
    <col min="3" max="3" width="12.140625" style="27" hidden="1" customWidth="1"/>
    <col min="4" max="4" width="0" style="16" hidden="1" customWidth="1"/>
    <col min="5" max="16384" width="9.140625" style="16" customWidth="1"/>
  </cols>
  <sheetData>
    <row r="1" spans="1:2" ht="15">
      <c r="A1" s="109" t="s">
        <v>274</v>
      </c>
      <c r="B1" s="110" t="s">
        <v>18</v>
      </c>
    </row>
    <row r="2" spans="1:3" s="19" customFormat="1" ht="12.75">
      <c r="A2" s="111" t="s">
        <v>208</v>
      </c>
      <c r="B2" s="112" t="s">
        <v>342</v>
      </c>
      <c r="C2" s="28"/>
    </row>
    <row r="3" spans="1:2" ht="78.75">
      <c r="A3" s="42"/>
      <c r="B3" s="114" t="s">
        <v>142</v>
      </c>
    </row>
    <row r="4" spans="1:3" s="19" customFormat="1" ht="12.75">
      <c r="A4" s="111" t="s">
        <v>133</v>
      </c>
      <c r="B4" s="112"/>
      <c r="C4" s="28" t="s">
        <v>375</v>
      </c>
    </row>
    <row r="5" spans="1:3" ht="52.5">
      <c r="A5" s="153"/>
      <c r="B5" s="125" t="s">
        <v>246</v>
      </c>
      <c r="C5" s="30" t="s">
        <v>204</v>
      </c>
    </row>
    <row r="6" spans="1:3" s="19" customFormat="1" ht="12.75">
      <c r="A6" s="128" t="s">
        <v>386</v>
      </c>
      <c r="B6" s="141"/>
      <c r="C6" s="28"/>
    </row>
    <row r="7" spans="1:3" s="19" customFormat="1" ht="12.75">
      <c r="A7" s="111" t="s">
        <v>387</v>
      </c>
      <c r="B7" s="115"/>
      <c r="C7" s="28"/>
    </row>
    <row r="8" spans="1:3" s="19" customFormat="1" ht="12.75">
      <c r="A8" s="116" t="s">
        <v>134</v>
      </c>
      <c r="B8" s="137" t="s">
        <v>221</v>
      </c>
      <c r="C8" s="28"/>
    </row>
    <row r="9" spans="1:3" ht="52.5">
      <c r="A9" s="135"/>
      <c r="B9" s="114" t="s">
        <v>143</v>
      </c>
      <c r="C9" s="30">
        <f>A5</f>
        <v>0</v>
      </c>
    </row>
    <row r="10" spans="1:3" ht="12.75">
      <c r="A10" s="116" t="s">
        <v>134</v>
      </c>
      <c r="B10" s="114" t="s">
        <v>467</v>
      </c>
      <c r="C10" s="30"/>
    </row>
    <row r="11" spans="1:3" ht="52.5">
      <c r="A11" s="42"/>
      <c r="B11" s="114" t="s">
        <v>140</v>
      </c>
      <c r="C11" s="27" t="s">
        <v>202</v>
      </c>
    </row>
    <row r="12" spans="1:3" ht="12.75">
      <c r="A12" s="116" t="s">
        <v>134</v>
      </c>
      <c r="B12" s="114" t="s">
        <v>222</v>
      </c>
      <c r="C12" s="30">
        <f>A5</f>
        <v>0</v>
      </c>
    </row>
    <row r="13" spans="1:3" ht="39">
      <c r="A13" s="135"/>
      <c r="B13" s="114" t="s">
        <v>144</v>
      </c>
      <c r="C13" s="16"/>
    </row>
    <row r="14" spans="1:3" ht="12.75">
      <c r="A14" s="116" t="s">
        <v>134</v>
      </c>
      <c r="B14" s="141" t="s">
        <v>145</v>
      </c>
      <c r="C14" s="30">
        <f>A5</f>
        <v>0</v>
      </c>
    </row>
    <row r="15" spans="1:3" ht="92.25">
      <c r="A15" s="116" t="s">
        <v>134</v>
      </c>
      <c r="B15" s="114" t="s">
        <v>428</v>
      </c>
      <c r="C15" s="27" t="s">
        <v>377</v>
      </c>
    </row>
    <row r="16" spans="1:3" ht="12.75">
      <c r="A16" s="116" t="s">
        <v>134</v>
      </c>
      <c r="B16" s="121" t="s">
        <v>468</v>
      </c>
      <c r="C16" s="30">
        <f>A5</f>
        <v>0</v>
      </c>
    </row>
    <row r="17" spans="1:3" ht="26.25">
      <c r="A17" s="42"/>
      <c r="B17" s="114" t="s">
        <v>429</v>
      </c>
      <c r="C17" s="16"/>
    </row>
    <row r="18" spans="1:4" ht="12.75">
      <c r="A18" s="116" t="s">
        <v>134</v>
      </c>
      <c r="B18" s="141" t="s">
        <v>430</v>
      </c>
      <c r="C18" s="30">
        <f>A5</f>
        <v>0</v>
      </c>
      <c r="D18" s="16" t="s">
        <v>167</v>
      </c>
    </row>
    <row r="19" spans="1:4" ht="15" customHeight="1">
      <c r="A19" s="116" t="s">
        <v>134</v>
      </c>
      <c r="B19" s="141" t="s">
        <v>409</v>
      </c>
      <c r="C19" s="38" t="s">
        <v>203</v>
      </c>
      <c r="D19" s="16" t="s">
        <v>167</v>
      </c>
    </row>
    <row r="20" spans="1:4" ht="12.75">
      <c r="A20" s="42"/>
      <c r="B20" s="141" t="s">
        <v>410</v>
      </c>
      <c r="D20" s="16" t="s">
        <v>167</v>
      </c>
    </row>
    <row r="21" spans="1:4" ht="12.75">
      <c r="A21" s="42"/>
      <c r="B21" s="141" t="s">
        <v>411</v>
      </c>
      <c r="D21" s="16" t="s">
        <v>167</v>
      </c>
    </row>
    <row r="22" spans="1:4" ht="12.75">
      <c r="A22" s="42"/>
      <c r="B22" s="141" t="s">
        <v>412</v>
      </c>
      <c r="D22" s="16" t="s">
        <v>167</v>
      </c>
    </row>
    <row r="23" spans="1:4" ht="12.75">
      <c r="A23" s="42"/>
      <c r="B23" s="141" t="s">
        <v>413</v>
      </c>
      <c r="D23" s="16" t="s">
        <v>167</v>
      </c>
    </row>
    <row r="24" spans="1:4" ht="12.75">
      <c r="A24" s="42"/>
      <c r="B24" s="141" t="s">
        <v>414</v>
      </c>
      <c r="D24" s="16" t="s">
        <v>167</v>
      </c>
    </row>
    <row r="25" spans="1:4" ht="12.75">
      <c r="A25" s="42"/>
      <c r="B25" s="141" t="s">
        <v>415</v>
      </c>
      <c r="D25" s="16" t="s">
        <v>167</v>
      </c>
    </row>
    <row r="26" spans="1:4" ht="12.75">
      <c r="A26" s="42"/>
      <c r="B26" s="141" t="s">
        <v>416</v>
      </c>
      <c r="D26" s="16" t="s">
        <v>167</v>
      </c>
    </row>
    <row r="27" spans="1:4" ht="12.75">
      <c r="A27" s="42"/>
      <c r="B27" s="141" t="s">
        <v>417</v>
      </c>
      <c r="D27" s="16" t="s">
        <v>167</v>
      </c>
    </row>
    <row r="28" spans="1:4" ht="12.75">
      <c r="A28" s="42"/>
      <c r="B28" s="141" t="s">
        <v>418</v>
      </c>
      <c r="D28" s="16" t="s">
        <v>167</v>
      </c>
    </row>
    <row r="29" spans="1:4" ht="12.75">
      <c r="A29" s="42"/>
      <c r="B29" s="141" t="s">
        <v>419</v>
      </c>
      <c r="D29" s="16" t="s">
        <v>167</v>
      </c>
    </row>
    <row r="30" spans="1:4" ht="12.75">
      <c r="A30" s="42"/>
      <c r="B30" s="141" t="s">
        <v>420</v>
      </c>
      <c r="D30" s="16" t="s">
        <v>167</v>
      </c>
    </row>
    <row r="31" spans="1:4" ht="12.75">
      <c r="A31" s="42"/>
      <c r="B31" s="141" t="s">
        <v>421</v>
      </c>
      <c r="D31" s="16" t="s">
        <v>167</v>
      </c>
    </row>
    <row r="32" spans="1:4" ht="12.75">
      <c r="A32" s="23"/>
      <c r="B32" s="146" t="s">
        <v>422</v>
      </c>
      <c r="D32" s="16" t="s">
        <v>167</v>
      </c>
    </row>
  </sheetData>
  <sheetProtection/>
  <printOptions/>
  <pageMargins left="0.7480314960629921" right="0.7480314960629921" top="0.984251968503937" bottom="0.984251968503937" header="0.5118110236220472" footer="0.5118110236220472"/>
  <pageSetup fitToHeight="1" fitToWidth="1" horizontalDpi="300" verticalDpi="300" orientation="portrait" paperSize="9" scale="83" r:id="rId1"/>
  <headerFooter alignWithMargins="0">
    <oddHeader>&amp;RBijlage 3-2: Analyse van de aspecten</oddHeader>
    <oddFooter>&amp;CMethodiek BPBP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D13"/>
  <sheetViews>
    <sheetView zoomScalePageLayoutView="0" workbookViewId="0" topLeftCell="A1">
      <selection activeCell="G10" sqref="G10"/>
    </sheetView>
  </sheetViews>
  <sheetFormatPr defaultColWidth="9.140625" defaultRowHeight="12.75"/>
  <cols>
    <col min="1" max="1" width="19.421875" style="16" customWidth="1"/>
    <col min="2" max="2" width="85.7109375" style="16" customWidth="1"/>
    <col min="3" max="3" width="12.140625" style="27" hidden="1" customWidth="1"/>
    <col min="4" max="4" width="0" style="16" hidden="1" customWidth="1"/>
    <col min="5" max="16384" width="9.140625" style="16" customWidth="1"/>
  </cols>
  <sheetData>
    <row r="1" spans="1:2" ht="15">
      <c r="A1" s="109" t="s">
        <v>274</v>
      </c>
      <c r="B1" s="110" t="s">
        <v>19</v>
      </c>
    </row>
    <row r="2" spans="1:3" s="19" customFormat="1" ht="12.75">
      <c r="A2" s="111" t="s">
        <v>208</v>
      </c>
      <c r="B2" s="112" t="s">
        <v>343</v>
      </c>
      <c r="C2" s="28"/>
    </row>
    <row r="3" spans="1:2" ht="26.25">
      <c r="A3" s="23"/>
      <c r="B3" s="125" t="s">
        <v>423</v>
      </c>
    </row>
    <row r="4" spans="1:3" s="19" customFormat="1" ht="12.75">
      <c r="A4" s="111" t="s">
        <v>133</v>
      </c>
      <c r="B4" s="112"/>
      <c r="C4" s="28" t="s">
        <v>375</v>
      </c>
    </row>
    <row r="5" spans="1:4" ht="34.5" customHeight="1">
      <c r="A5" s="153"/>
      <c r="B5" s="149" t="s">
        <v>245</v>
      </c>
      <c r="C5" s="30" t="s">
        <v>204</v>
      </c>
      <c r="D5" s="16" t="s">
        <v>207</v>
      </c>
    </row>
    <row r="6" spans="1:3" s="19" customFormat="1" ht="12.75">
      <c r="A6" s="111" t="s">
        <v>386</v>
      </c>
      <c r="B6" s="141"/>
      <c r="C6" s="28"/>
    </row>
    <row r="7" spans="1:3" s="19" customFormat="1" ht="12.75">
      <c r="A7" s="111" t="s">
        <v>387</v>
      </c>
      <c r="B7" s="115"/>
      <c r="C7" s="28"/>
    </row>
    <row r="8" spans="1:3" ht="52.5">
      <c r="A8" s="116" t="s">
        <v>134</v>
      </c>
      <c r="B8" s="114" t="s">
        <v>143</v>
      </c>
      <c r="C8" s="30">
        <f>A5</f>
        <v>0</v>
      </c>
    </row>
    <row r="9" spans="1:3" ht="26.25">
      <c r="A9" s="116" t="s">
        <v>134</v>
      </c>
      <c r="B9" s="137" t="s">
        <v>77</v>
      </c>
      <c r="C9" s="27" t="s">
        <v>322</v>
      </c>
    </row>
    <row r="10" spans="1:3" ht="39">
      <c r="A10" s="116" t="s">
        <v>134</v>
      </c>
      <c r="B10" s="114" t="s">
        <v>31</v>
      </c>
      <c r="C10" s="16"/>
    </row>
    <row r="11" spans="1:3" ht="66">
      <c r="A11" s="116" t="s">
        <v>134</v>
      </c>
      <c r="B11" s="114" t="s">
        <v>424</v>
      </c>
      <c r="C11" s="30">
        <f>A5</f>
        <v>0</v>
      </c>
    </row>
    <row r="12" spans="1:3" ht="27.75" customHeight="1">
      <c r="A12" s="116" t="s">
        <v>134</v>
      </c>
      <c r="B12" s="114" t="s">
        <v>104</v>
      </c>
      <c r="C12" s="30">
        <f>A5</f>
        <v>0</v>
      </c>
    </row>
    <row r="13" spans="1:3" ht="26.25">
      <c r="A13" s="120" t="s">
        <v>134</v>
      </c>
      <c r="B13" s="125" t="s">
        <v>105</v>
      </c>
      <c r="C13" s="30">
        <f>A5</f>
        <v>0</v>
      </c>
    </row>
  </sheetData>
  <sheetProtection/>
  <printOptions/>
  <pageMargins left="0.7480314960629921" right="0.7480314960629921" top="0.984251968503937" bottom="0.984251968503937" header="0.5118110236220472" footer="0.5118110236220472"/>
  <pageSetup fitToHeight="1" fitToWidth="1" horizontalDpi="300" verticalDpi="300" orientation="portrait" paperSize="9" scale="83" r:id="rId1"/>
  <headerFooter alignWithMargins="0">
    <oddHeader>&amp;RBijlage 3-2: Analyse van de aspecten</oddHeader>
    <oddFooter>&amp;CMethodiek BPBP</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C16"/>
  <sheetViews>
    <sheetView zoomScalePageLayoutView="0" workbookViewId="0" topLeftCell="A1">
      <selection activeCell="B9" sqref="B9"/>
    </sheetView>
  </sheetViews>
  <sheetFormatPr defaultColWidth="9.140625" defaultRowHeight="12.75"/>
  <cols>
    <col min="1" max="1" width="19.140625" style="16" customWidth="1"/>
    <col min="2" max="2" width="85.7109375" style="16" customWidth="1"/>
    <col min="3" max="3" width="12.140625" style="27" hidden="1" customWidth="1"/>
    <col min="4" max="16384" width="9.140625" style="16" customWidth="1"/>
  </cols>
  <sheetData>
    <row r="1" spans="1:2" ht="15">
      <c r="A1" s="109" t="s">
        <v>274</v>
      </c>
      <c r="B1" s="110" t="s">
        <v>20</v>
      </c>
    </row>
    <row r="2" spans="1:3" s="19" customFormat="1" ht="12.75">
      <c r="A2" s="111" t="s">
        <v>208</v>
      </c>
      <c r="B2" s="112" t="s">
        <v>344</v>
      </c>
      <c r="C2" s="28"/>
    </row>
    <row r="3" spans="1:2" ht="39">
      <c r="A3" s="23"/>
      <c r="B3" s="125" t="s">
        <v>425</v>
      </c>
    </row>
    <row r="4" spans="1:3" s="19" customFormat="1" ht="12.75">
      <c r="A4" s="128" t="s">
        <v>133</v>
      </c>
      <c r="B4" s="141"/>
      <c r="C4" s="28"/>
    </row>
    <row r="5" spans="1:2" ht="26.25">
      <c r="A5" s="153"/>
      <c r="B5" s="125" t="s">
        <v>244</v>
      </c>
    </row>
    <row r="6" spans="1:3" s="19" customFormat="1" ht="12.75">
      <c r="A6" s="111" t="s">
        <v>386</v>
      </c>
      <c r="B6" s="141"/>
      <c r="C6" s="28"/>
    </row>
    <row r="7" spans="1:3" ht="15" customHeight="1">
      <c r="A7" s="23"/>
      <c r="B7" s="146" t="s">
        <v>470</v>
      </c>
      <c r="C7" s="31" t="s">
        <v>471</v>
      </c>
    </row>
    <row r="8" spans="1:3" s="19" customFormat="1" ht="12.75">
      <c r="A8" s="111" t="s">
        <v>387</v>
      </c>
      <c r="B8" s="141"/>
      <c r="C8" s="28"/>
    </row>
    <row r="9" spans="1:3" ht="26.25">
      <c r="A9" s="116" t="s">
        <v>134</v>
      </c>
      <c r="B9" s="114" t="s">
        <v>345</v>
      </c>
      <c r="C9" s="28"/>
    </row>
    <row r="10" spans="1:3" ht="12.75">
      <c r="A10" s="116" t="s">
        <v>134</v>
      </c>
      <c r="B10" s="114" t="s">
        <v>426</v>
      </c>
      <c r="C10" s="28"/>
    </row>
    <row r="11" spans="1:3" ht="12.75">
      <c r="A11" s="116" t="s">
        <v>134</v>
      </c>
      <c r="B11" s="114" t="s">
        <v>427</v>
      </c>
      <c r="C11" s="28"/>
    </row>
    <row r="12" spans="1:3" ht="12.75">
      <c r="A12" s="116" t="s">
        <v>134</v>
      </c>
      <c r="B12" s="114" t="s">
        <v>201</v>
      </c>
      <c r="C12" s="28"/>
    </row>
    <row r="13" spans="1:3" ht="26.25">
      <c r="A13" s="120" t="s">
        <v>134</v>
      </c>
      <c r="B13" s="123" t="s">
        <v>469</v>
      </c>
      <c r="C13" s="28"/>
    </row>
    <row r="16" ht="12.75">
      <c r="B16" s="26"/>
    </row>
  </sheetData>
  <sheetProtection/>
  <printOptions/>
  <pageMargins left="0.7480314960629921" right="0.7480314960629921" top="0.984251968503937" bottom="0.984251968503937" header="0.5118110236220472" footer="0.5118110236220472"/>
  <pageSetup fitToHeight="1" fitToWidth="1" horizontalDpi="300" verticalDpi="300" orientation="portrait" paperSize="9" scale="83" r:id="rId1"/>
  <headerFooter alignWithMargins="0">
    <oddHeader>&amp;RBijlage 3-2: Analyse van de aspecten</oddHeader>
    <oddFooter>&amp;CMethodiek BPBP</oddFooter>
  </headerFooter>
</worksheet>
</file>

<file path=xl/worksheets/sheet2.xml><?xml version="1.0" encoding="utf-8"?>
<worksheet xmlns="http://schemas.openxmlformats.org/spreadsheetml/2006/main" xmlns:r="http://schemas.openxmlformats.org/officeDocument/2006/relationships">
  <dimension ref="A1:N73"/>
  <sheetViews>
    <sheetView zoomScalePageLayoutView="0" workbookViewId="0" topLeftCell="A1">
      <selection activeCell="C29" sqref="C29"/>
    </sheetView>
  </sheetViews>
  <sheetFormatPr defaultColWidth="5.28125" defaultRowHeight="12.75"/>
  <cols>
    <col min="1" max="1" width="7.140625" style="3" customWidth="1"/>
    <col min="2" max="2" width="2.421875" style="3" customWidth="1"/>
    <col min="3" max="3" width="84.421875" style="5" customWidth="1"/>
    <col min="4" max="4" width="17.00390625" style="55" hidden="1" customWidth="1"/>
    <col min="5" max="5" width="6.00390625" style="3" customWidth="1"/>
    <col min="6" max="6" width="9.28125" style="3" customWidth="1"/>
    <col min="7" max="16384" width="5.28125" style="3" customWidth="1"/>
  </cols>
  <sheetData>
    <row r="1" spans="1:4" ht="26.25">
      <c r="A1" s="423" t="s">
        <v>406</v>
      </c>
      <c r="B1" s="423"/>
      <c r="C1" s="267" t="s">
        <v>407</v>
      </c>
      <c r="D1" s="236" t="s">
        <v>401</v>
      </c>
    </row>
    <row r="2" spans="1:6" ht="13.5" customHeight="1">
      <c r="A2" s="239" t="s">
        <v>356</v>
      </c>
      <c r="B2" s="240"/>
      <c r="C2" s="241" t="s">
        <v>229</v>
      </c>
      <c r="D2" s="60">
        <v>0.5</v>
      </c>
      <c r="E2" s="47"/>
      <c r="F2" s="47"/>
    </row>
    <row r="3" spans="1:6" ht="18.75" customHeight="1">
      <c r="A3" s="239" t="s">
        <v>357</v>
      </c>
      <c r="B3" s="240"/>
      <c r="C3" s="241" t="s">
        <v>224</v>
      </c>
      <c r="D3" s="60">
        <v>0.33</v>
      </c>
      <c r="E3" s="47"/>
      <c r="F3" s="47"/>
    </row>
    <row r="4" spans="1:6" ht="12.75">
      <c r="A4" s="239"/>
      <c r="B4" s="240"/>
      <c r="C4" s="242" t="s">
        <v>112</v>
      </c>
      <c r="D4" s="60"/>
      <c r="E4" s="47"/>
      <c r="F4" s="47"/>
    </row>
    <row r="5" spans="1:4" ht="12.75">
      <c r="A5" s="239" t="s">
        <v>358</v>
      </c>
      <c r="B5" s="243" t="s">
        <v>267</v>
      </c>
      <c r="C5" s="244" t="s">
        <v>217</v>
      </c>
      <c r="D5" s="187" t="s">
        <v>362</v>
      </c>
    </row>
    <row r="6" spans="1:6" ht="12.75">
      <c r="A6" s="239" t="s">
        <v>359</v>
      </c>
      <c r="B6" s="243" t="s">
        <v>268</v>
      </c>
      <c r="C6" s="244" t="s">
        <v>500</v>
      </c>
      <c r="D6" s="187" t="s">
        <v>361</v>
      </c>
      <c r="E6" s="47"/>
      <c r="F6" s="47"/>
    </row>
    <row r="7" spans="1:6" ht="12.75">
      <c r="A7" s="239" t="s">
        <v>360</v>
      </c>
      <c r="B7" s="243" t="s">
        <v>403</v>
      </c>
      <c r="C7" s="244" t="s">
        <v>493</v>
      </c>
      <c r="D7" s="60"/>
      <c r="E7" s="47"/>
      <c r="F7" s="47"/>
    </row>
    <row r="8" spans="1:6" ht="12.75">
      <c r="A8" s="239" t="s">
        <v>275</v>
      </c>
      <c r="B8" s="243" t="s">
        <v>404</v>
      </c>
      <c r="C8" s="244" t="s">
        <v>220</v>
      </c>
      <c r="D8" s="60"/>
      <c r="E8" s="47"/>
      <c r="F8" s="47"/>
    </row>
    <row r="9" spans="1:6" ht="12.75" hidden="1">
      <c r="A9" s="239"/>
      <c r="B9" s="240"/>
      <c r="C9" s="241"/>
      <c r="D9" s="60"/>
      <c r="E9" s="47"/>
      <c r="F9" s="47"/>
    </row>
    <row r="10" spans="1:6" ht="12.75" hidden="1">
      <c r="A10" s="239"/>
      <c r="B10" s="240"/>
      <c r="C10" s="241"/>
      <c r="D10" s="60"/>
      <c r="E10" s="47"/>
      <c r="F10" s="47"/>
    </row>
    <row r="11" spans="1:6" ht="12.75" hidden="1">
      <c r="A11" s="239"/>
      <c r="B11" s="240"/>
      <c r="C11" s="241"/>
      <c r="D11" s="60"/>
      <c r="E11" s="47"/>
      <c r="F11" s="47"/>
    </row>
    <row r="12" spans="1:6" ht="12.75" hidden="1">
      <c r="A12" s="239"/>
      <c r="B12" s="240"/>
      <c r="C12" s="241"/>
      <c r="D12" s="60"/>
      <c r="E12" s="47"/>
      <c r="F12" s="47"/>
    </row>
    <row r="13" spans="1:6" ht="12.75" hidden="1">
      <c r="A13" s="239"/>
      <c r="B13" s="240"/>
      <c r="C13" s="241"/>
      <c r="D13" s="60"/>
      <c r="E13" s="47"/>
      <c r="F13" s="47"/>
    </row>
    <row r="14" spans="1:6" ht="13.5" customHeight="1">
      <c r="A14" s="239" t="s">
        <v>276</v>
      </c>
      <c r="B14" s="240"/>
      <c r="C14" s="241" t="s">
        <v>77</v>
      </c>
      <c r="D14" s="60">
        <v>0.5</v>
      </c>
      <c r="E14" s="47"/>
      <c r="F14" s="47"/>
    </row>
    <row r="15" spans="1:6" ht="12.75">
      <c r="A15" s="239" t="s">
        <v>277</v>
      </c>
      <c r="B15" s="240"/>
      <c r="C15" s="241" t="s">
        <v>221</v>
      </c>
      <c r="D15" s="60">
        <v>0.5</v>
      </c>
      <c r="E15" s="47"/>
      <c r="F15" s="47"/>
    </row>
    <row r="16" spans="1:3" ht="12.75" hidden="1">
      <c r="A16" s="240"/>
      <c r="B16" s="240"/>
      <c r="C16" s="241"/>
    </row>
    <row r="17" spans="1:4" ht="12.75" hidden="1">
      <c r="A17" s="245" t="s">
        <v>402</v>
      </c>
      <c r="B17" s="246"/>
      <c r="C17" s="247"/>
      <c r="D17" s="160"/>
    </row>
    <row r="18" spans="1:4" ht="12.75" hidden="1">
      <c r="A18" s="248" t="s">
        <v>355</v>
      </c>
      <c r="B18" s="249"/>
      <c r="C18" s="250"/>
      <c r="D18" s="163"/>
    </row>
    <row r="19" spans="1:3" ht="12.75" hidden="1">
      <c r="A19" s="240"/>
      <c r="B19" s="240"/>
      <c r="C19" s="241"/>
    </row>
    <row r="20" spans="1:4" ht="21" hidden="1">
      <c r="A20" s="251" t="s">
        <v>347</v>
      </c>
      <c r="B20" s="249"/>
      <c r="C20" s="251" t="s">
        <v>234</v>
      </c>
      <c r="D20" s="163"/>
    </row>
    <row r="21" spans="1:3" ht="12.75" hidden="1">
      <c r="A21" s="240"/>
      <c r="B21" s="240"/>
      <c r="C21" s="241"/>
    </row>
    <row r="22" spans="1:6" ht="12.75" hidden="1">
      <c r="A22" s="252" t="s">
        <v>213</v>
      </c>
      <c r="B22" s="253"/>
      <c r="C22" s="254" t="s">
        <v>208</v>
      </c>
      <c r="D22" s="170" t="e">
        <f>#REF!</f>
        <v>#REF!</v>
      </c>
      <c r="E22" s="44"/>
      <c r="F22" s="44"/>
    </row>
    <row r="23" spans="1:4" ht="69.75" customHeight="1" hidden="1">
      <c r="A23" s="240"/>
      <c r="B23" s="240"/>
      <c r="C23" s="241" t="s">
        <v>238</v>
      </c>
      <c r="D23" s="160">
        <v>100</v>
      </c>
    </row>
    <row r="24" spans="1:4" ht="12.75" hidden="1">
      <c r="A24" s="240"/>
      <c r="B24" s="240"/>
      <c r="C24" s="241"/>
      <c r="D24" s="160"/>
    </row>
    <row r="25" spans="1:4" ht="26.25" hidden="1">
      <c r="A25" s="238" t="s">
        <v>352</v>
      </c>
      <c r="B25" s="240"/>
      <c r="C25" s="241"/>
      <c r="D25" s="236" t="str">
        <f>D1</f>
        <v>Risicoverminde-ringsfactor PM</v>
      </c>
    </row>
    <row r="26" spans="1:6" ht="12.75">
      <c r="A26" s="255" t="s">
        <v>278</v>
      </c>
      <c r="B26" s="240"/>
      <c r="C26" s="241" t="s">
        <v>53</v>
      </c>
      <c r="D26" s="157">
        <v>0.25</v>
      </c>
      <c r="E26" s="47"/>
      <c r="F26" s="47"/>
    </row>
    <row r="27" spans="1:6" ht="12.75">
      <c r="A27" s="255" t="s">
        <v>279</v>
      </c>
      <c r="B27" s="240"/>
      <c r="C27" s="241" t="s">
        <v>483</v>
      </c>
      <c r="D27" s="60">
        <v>0.1</v>
      </c>
      <c r="E27" s="47"/>
      <c r="F27" s="47"/>
    </row>
    <row r="28" spans="1:6" ht="12.75">
      <c r="A28" s="255" t="s">
        <v>280</v>
      </c>
      <c r="B28" s="240"/>
      <c r="C28" s="241" t="s">
        <v>484</v>
      </c>
      <c r="D28" s="60">
        <v>0.2</v>
      </c>
      <c r="E28" s="47"/>
      <c r="F28" s="47"/>
    </row>
    <row r="29" spans="1:14" s="95" customFormat="1" ht="12.75">
      <c r="A29" s="256"/>
      <c r="B29" s="243"/>
      <c r="C29" s="257" t="s">
        <v>501</v>
      </c>
      <c r="D29" s="60"/>
      <c r="E29" s="3"/>
      <c r="F29" s="47"/>
      <c r="G29" s="96"/>
      <c r="H29" s="96"/>
      <c r="I29" s="96"/>
      <c r="J29" s="96"/>
      <c r="K29" s="96"/>
      <c r="L29" s="96"/>
      <c r="M29" s="96"/>
      <c r="N29" s="96"/>
    </row>
    <row r="30" spans="1:14" s="95" customFormat="1" ht="12.75">
      <c r="A30" s="255" t="s">
        <v>281</v>
      </c>
      <c r="B30" s="243" t="s">
        <v>267</v>
      </c>
      <c r="C30" s="244" t="s">
        <v>315</v>
      </c>
      <c r="D30" s="60">
        <v>0.02</v>
      </c>
      <c r="E30" s="47"/>
      <c r="F30" s="96"/>
      <c r="G30" s="96"/>
      <c r="H30" s="96"/>
      <c r="I30" s="96"/>
      <c r="J30" s="96"/>
      <c r="K30" s="96"/>
      <c r="L30" s="96"/>
      <c r="M30" s="96"/>
      <c r="N30" s="96"/>
    </row>
    <row r="31" spans="1:14" s="95" customFormat="1" ht="39">
      <c r="A31" s="256" t="s">
        <v>85</v>
      </c>
      <c r="B31" s="243" t="s">
        <v>268</v>
      </c>
      <c r="C31" s="244" t="s">
        <v>398</v>
      </c>
      <c r="D31" s="60">
        <v>0.1</v>
      </c>
      <c r="E31" s="47"/>
      <c r="F31" s="96"/>
      <c r="G31" s="96"/>
      <c r="H31" s="96"/>
      <c r="I31" s="96"/>
      <c r="J31" s="96"/>
      <c r="K31" s="96"/>
      <c r="L31" s="96"/>
      <c r="M31" s="96"/>
      <c r="N31" s="96"/>
    </row>
    <row r="32" spans="1:6" ht="12.75" customHeight="1">
      <c r="A32" s="239" t="s">
        <v>86</v>
      </c>
      <c r="B32" s="240"/>
      <c r="C32" s="241" t="s">
        <v>488</v>
      </c>
      <c r="D32" s="157">
        <v>0.02</v>
      </c>
      <c r="E32" s="47"/>
      <c r="F32" s="47"/>
    </row>
    <row r="33" spans="1:14" ht="12.75">
      <c r="A33" s="239"/>
      <c r="B33" s="240"/>
      <c r="C33" s="241" t="s">
        <v>94</v>
      </c>
      <c r="D33" s="60"/>
      <c r="E33" s="47"/>
      <c r="F33" s="47"/>
      <c r="G33" s="47"/>
      <c r="H33" s="47"/>
      <c r="I33" s="47"/>
      <c r="J33" s="47"/>
      <c r="K33" s="47"/>
      <c r="L33" s="47"/>
      <c r="M33" s="47"/>
      <c r="N33" s="47"/>
    </row>
    <row r="34" spans="1:14" ht="12.75">
      <c r="A34" s="239" t="s">
        <v>87</v>
      </c>
      <c r="B34" s="243" t="s">
        <v>267</v>
      </c>
      <c r="C34" s="244" t="s">
        <v>489</v>
      </c>
      <c r="D34" s="187" t="s">
        <v>362</v>
      </c>
      <c r="G34" s="47"/>
      <c r="H34" s="47"/>
      <c r="I34" s="47"/>
      <c r="J34" s="47"/>
      <c r="K34" s="47"/>
      <c r="L34" s="47"/>
      <c r="M34" s="47"/>
      <c r="N34" s="47"/>
    </row>
    <row r="35" spans="1:14" ht="27" customHeight="1">
      <c r="A35" s="239" t="s">
        <v>88</v>
      </c>
      <c r="B35" s="243" t="s">
        <v>268</v>
      </c>
      <c r="C35" s="244" t="s">
        <v>92</v>
      </c>
      <c r="D35" s="187" t="s">
        <v>283</v>
      </c>
      <c r="E35" s="47"/>
      <c r="F35" s="47"/>
      <c r="G35" s="47"/>
      <c r="H35" s="47"/>
      <c r="I35" s="47"/>
      <c r="J35" s="47"/>
      <c r="K35" s="47"/>
      <c r="L35" s="47"/>
      <c r="M35" s="47"/>
      <c r="N35" s="47"/>
    </row>
    <row r="36" spans="1:14" ht="12.75">
      <c r="A36" s="239" t="s">
        <v>89</v>
      </c>
      <c r="B36" s="240"/>
      <c r="C36" s="241" t="s">
        <v>273</v>
      </c>
      <c r="D36" s="157">
        <v>0.02</v>
      </c>
      <c r="E36" s="47"/>
      <c r="F36" s="47"/>
      <c r="G36" s="47"/>
      <c r="H36" s="47"/>
      <c r="I36" s="47"/>
      <c r="J36" s="47"/>
      <c r="K36" s="47"/>
      <c r="L36" s="47"/>
      <c r="M36" s="47"/>
      <c r="N36" s="47"/>
    </row>
    <row r="37" spans="1:4" ht="12.75">
      <c r="A37" s="239" t="s">
        <v>90</v>
      </c>
      <c r="B37" s="240"/>
      <c r="C37" s="241" t="s">
        <v>151</v>
      </c>
      <c r="D37" s="157">
        <v>0.5</v>
      </c>
    </row>
    <row r="38" spans="1:4" ht="26.25">
      <c r="A38" s="239" t="s">
        <v>91</v>
      </c>
      <c r="B38" s="240"/>
      <c r="C38" s="258" t="s">
        <v>367</v>
      </c>
      <c r="D38" s="157">
        <v>0.2</v>
      </c>
    </row>
    <row r="39" spans="1:4" ht="12.75">
      <c r="A39" s="259" t="s">
        <v>503</v>
      </c>
      <c r="B39" s="240"/>
      <c r="C39" s="260" t="s">
        <v>156</v>
      </c>
      <c r="D39" s="157">
        <v>0.2</v>
      </c>
    </row>
    <row r="40" spans="1:6" ht="26.25">
      <c r="A40" s="255" t="s">
        <v>505</v>
      </c>
      <c r="B40" s="261" t="s">
        <v>267</v>
      </c>
      <c r="C40" s="244" t="s">
        <v>257</v>
      </c>
      <c r="D40" s="188" t="s">
        <v>362</v>
      </c>
      <c r="E40" s="63"/>
      <c r="F40" s="63"/>
    </row>
    <row r="41" spans="1:4" ht="12.75">
      <c r="A41" s="255" t="s">
        <v>506</v>
      </c>
      <c r="B41" s="261" t="s">
        <v>268</v>
      </c>
      <c r="C41" s="262" t="s">
        <v>405</v>
      </c>
      <c r="D41" s="187" t="s">
        <v>284</v>
      </c>
    </row>
    <row r="42" spans="1:3" ht="12.75">
      <c r="A42" s="255" t="s">
        <v>507</v>
      </c>
      <c r="B42" s="261"/>
      <c r="C42" s="263" t="s">
        <v>466</v>
      </c>
    </row>
    <row r="43" spans="1:5" ht="12.75">
      <c r="A43" s="255" t="s">
        <v>508</v>
      </c>
      <c r="B43" s="261"/>
      <c r="C43" s="263" t="s">
        <v>465</v>
      </c>
      <c r="D43" s="171">
        <v>0</v>
      </c>
      <c r="E43" s="63"/>
    </row>
    <row r="44" spans="1:3" ht="12.75">
      <c r="A44" s="239"/>
      <c r="B44" s="261"/>
      <c r="C44" s="263" t="s">
        <v>464</v>
      </c>
    </row>
    <row r="45" spans="1:4" ht="12.75">
      <c r="A45" s="255" t="s">
        <v>509</v>
      </c>
      <c r="B45" s="240" t="s">
        <v>267</v>
      </c>
      <c r="C45" s="244" t="s">
        <v>318</v>
      </c>
      <c r="D45" s="157">
        <v>0.05</v>
      </c>
    </row>
    <row r="46" spans="1:4" ht="12.75">
      <c r="A46" s="255" t="s">
        <v>510</v>
      </c>
      <c r="B46" s="240" t="s">
        <v>268</v>
      </c>
      <c r="C46" s="244" t="s">
        <v>319</v>
      </c>
      <c r="D46" s="157">
        <v>0.33</v>
      </c>
    </row>
    <row r="47" spans="1:5" ht="39">
      <c r="A47" s="255" t="s">
        <v>511</v>
      </c>
      <c r="B47" s="261"/>
      <c r="C47" s="264" t="s">
        <v>158</v>
      </c>
      <c r="D47" s="171">
        <v>0.2</v>
      </c>
      <c r="E47" s="63"/>
    </row>
    <row r="48" spans="1:5" ht="39">
      <c r="A48" s="259" t="s">
        <v>512</v>
      </c>
      <c r="B48" s="261"/>
      <c r="C48" s="264" t="s">
        <v>157</v>
      </c>
      <c r="D48" s="171">
        <v>0.5</v>
      </c>
      <c r="E48" s="63"/>
    </row>
    <row r="49" spans="1:4" ht="12.75">
      <c r="A49" s="255" t="s">
        <v>513</v>
      </c>
      <c r="B49" s="240"/>
      <c r="C49" s="242" t="s">
        <v>147</v>
      </c>
      <c r="D49" s="157">
        <v>0.25</v>
      </c>
    </row>
    <row r="50" spans="1:5" ht="12.75">
      <c r="A50" s="255"/>
      <c r="B50" s="261"/>
      <c r="C50" s="263" t="s">
        <v>61</v>
      </c>
      <c r="D50" s="171"/>
      <c r="E50" s="63"/>
    </row>
    <row r="51" spans="1:5" ht="12.75">
      <c r="A51" s="255" t="s">
        <v>514</v>
      </c>
      <c r="B51" s="261" t="s">
        <v>267</v>
      </c>
      <c r="C51" s="244" t="s">
        <v>68</v>
      </c>
      <c r="D51" s="171">
        <v>0.8</v>
      </c>
      <c r="E51" s="63"/>
    </row>
    <row r="52" spans="1:5" ht="12.75">
      <c r="A52" s="255" t="s">
        <v>515</v>
      </c>
      <c r="B52" s="261" t="s">
        <v>268</v>
      </c>
      <c r="C52" s="244" t="s">
        <v>71</v>
      </c>
      <c r="D52" s="171">
        <v>0.02</v>
      </c>
      <c r="E52" s="63"/>
    </row>
    <row r="53" spans="1:3" ht="12.75">
      <c r="A53" s="239"/>
      <c r="B53" s="240"/>
      <c r="C53" s="241" t="s">
        <v>248</v>
      </c>
    </row>
    <row r="54" spans="1:4" ht="12.75">
      <c r="A54" s="239" t="s">
        <v>516</v>
      </c>
      <c r="B54" s="261" t="s">
        <v>267</v>
      </c>
      <c r="C54" s="244" t="s">
        <v>68</v>
      </c>
      <c r="D54" s="157">
        <v>0.8</v>
      </c>
    </row>
    <row r="55" spans="1:4" ht="12.75">
      <c r="A55" s="239" t="s">
        <v>517</v>
      </c>
      <c r="B55" s="261" t="s">
        <v>268</v>
      </c>
      <c r="C55" s="244" t="s">
        <v>71</v>
      </c>
      <c r="D55" s="157">
        <v>0.02</v>
      </c>
    </row>
    <row r="56" spans="1:4" ht="12.75">
      <c r="A56" s="239"/>
      <c r="B56" s="240"/>
      <c r="C56" s="241" t="s">
        <v>62</v>
      </c>
      <c r="D56" s="157"/>
    </row>
    <row r="57" spans="1:4" ht="12.75">
      <c r="A57" s="239"/>
      <c r="B57" s="240"/>
      <c r="C57" s="242" t="s">
        <v>74</v>
      </c>
      <c r="D57" s="157"/>
    </row>
    <row r="58" spans="1:4" ht="12.75">
      <c r="A58" s="239" t="s">
        <v>518</v>
      </c>
      <c r="B58" s="261" t="s">
        <v>72</v>
      </c>
      <c r="C58" s="244" t="s">
        <v>75</v>
      </c>
      <c r="D58" s="187" t="s">
        <v>362</v>
      </c>
    </row>
    <row r="59" spans="1:4" ht="12.75">
      <c r="A59" s="239" t="s">
        <v>519</v>
      </c>
      <c r="B59" s="261" t="s">
        <v>73</v>
      </c>
      <c r="C59" s="244" t="s">
        <v>76</v>
      </c>
      <c r="D59" s="187" t="s">
        <v>285</v>
      </c>
    </row>
    <row r="60" spans="1:4" ht="26.25">
      <c r="A60" s="239" t="s">
        <v>520</v>
      </c>
      <c r="B60" s="261" t="s">
        <v>268</v>
      </c>
      <c r="C60" s="244" t="s">
        <v>63</v>
      </c>
      <c r="D60" s="157"/>
    </row>
    <row r="61" spans="1:3" ht="12.75">
      <c r="A61" s="240"/>
      <c r="B61" s="240"/>
      <c r="C61" s="265" t="s">
        <v>64</v>
      </c>
    </row>
    <row r="62" spans="1:3" ht="12.75">
      <c r="A62" s="239"/>
      <c r="B62" s="240"/>
      <c r="C62" s="266" t="s">
        <v>65</v>
      </c>
    </row>
    <row r="63" spans="1:3" ht="12.75">
      <c r="A63" s="239"/>
      <c r="B63" s="240"/>
      <c r="C63" s="266" t="s">
        <v>66</v>
      </c>
    </row>
    <row r="64" spans="1:3" ht="26.25">
      <c r="A64" s="240"/>
      <c r="B64" s="240"/>
      <c r="C64" s="242" t="s">
        <v>67</v>
      </c>
    </row>
    <row r="65" spans="1:4" ht="12.75">
      <c r="A65" s="239" t="s">
        <v>521</v>
      </c>
      <c r="B65" s="240"/>
      <c r="C65" s="241" t="s">
        <v>148</v>
      </c>
      <c r="D65" s="157">
        <v>0.2</v>
      </c>
    </row>
    <row r="66" spans="1:4" ht="12.75">
      <c r="A66" s="239" t="s">
        <v>522</v>
      </c>
      <c r="B66" s="240"/>
      <c r="C66" s="241" t="s">
        <v>57</v>
      </c>
      <c r="D66" s="157">
        <v>0.5</v>
      </c>
    </row>
    <row r="67" spans="1:6" ht="12.75" hidden="1">
      <c r="A67" s="239"/>
      <c r="B67" s="240"/>
      <c r="C67" s="240"/>
      <c r="E67" s="47"/>
      <c r="F67" s="47"/>
    </row>
    <row r="68" spans="1:6" ht="12.75" hidden="1">
      <c r="A68" s="239"/>
      <c r="B68" s="240"/>
      <c r="C68" s="241"/>
      <c r="D68" s="60"/>
      <c r="E68" s="47"/>
      <c r="F68" s="47"/>
    </row>
    <row r="69" spans="1:6" ht="12.75" hidden="1">
      <c r="A69" s="239"/>
      <c r="B69" s="240"/>
      <c r="C69" s="241"/>
      <c r="D69" s="60"/>
      <c r="E69" s="47"/>
      <c r="F69" s="47"/>
    </row>
    <row r="70" spans="1:6" ht="12.75" hidden="1">
      <c r="A70" s="239"/>
      <c r="B70" s="240"/>
      <c r="C70" s="241"/>
      <c r="D70" s="60"/>
      <c r="E70" s="47"/>
      <c r="F70" s="47"/>
    </row>
    <row r="71" spans="1:6" ht="12.75" hidden="1">
      <c r="A71" s="239"/>
      <c r="B71" s="240"/>
      <c r="C71" s="241"/>
      <c r="D71" s="60"/>
      <c r="E71" s="47"/>
      <c r="F71" s="47"/>
    </row>
    <row r="72" spans="1:4" ht="12.75">
      <c r="A72" s="239" t="s">
        <v>523</v>
      </c>
      <c r="B72" s="240"/>
      <c r="C72" s="241" t="s">
        <v>96</v>
      </c>
      <c r="D72" s="60">
        <v>0.2</v>
      </c>
    </row>
    <row r="73" ht="12.75">
      <c r="F73" s="188"/>
    </row>
  </sheetData>
  <sheetProtection/>
  <mergeCells count="1">
    <mergeCell ref="A1:B1"/>
  </mergeCells>
  <printOptions/>
  <pageMargins left="0.7874015748031497" right="0.7874015748031497" top="0.984251968503937" bottom="0.984251968503937" header="0.5118110236220472" footer="0.5118110236220472"/>
  <pageSetup horizontalDpi="600" verticalDpi="600" orientation="portrait" paperSize="9" scale="79" r:id="rId2"/>
  <headerFooter alignWithMargins="0">
    <oddHeader>&amp;RBijlage 3-5: Overzicht PM's voor de droogkuissector</oddHeader>
    <oddFooter>&amp;CMethodiek BPBP</oddFooter>
  </headerFooter>
  <drawing r:id="rId1"/>
</worksheet>
</file>

<file path=xl/worksheets/sheet20.xml><?xml version="1.0" encoding="utf-8"?>
<worksheet xmlns="http://schemas.openxmlformats.org/spreadsheetml/2006/main" xmlns:r="http://schemas.openxmlformats.org/officeDocument/2006/relationships">
  <dimension ref="A1:F196"/>
  <sheetViews>
    <sheetView zoomScale="75" zoomScaleNormal="75" zoomScaleSheetLayoutView="100" zoomScalePageLayoutView="0" workbookViewId="0" topLeftCell="A9">
      <selection activeCell="B23" sqref="B23"/>
    </sheetView>
  </sheetViews>
  <sheetFormatPr defaultColWidth="9.140625" defaultRowHeight="12.75"/>
  <cols>
    <col min="1" max="1" width="9.140625" style="3" customWidth="1"/>
    <col min="2" max="2" width="105.421875" style="5" customWidth="1"/>
    <col min="3" max="6" width="0" style="3" hidden="1" customWidth="1"/>
    <col min="7" max="16384" width="9.140625" style="3" customWidth="1"/>
  </cols>
  <sheetData>
    <row r="1" spans="1:2" s="100" customFormat="1" ht="24">
      <c r="A1" s="1" t="s">
        <v>175</v>
      </c>
      <c r="B1" s="99"/>
    </row>
    <row r="2" ht="12.75" hidden="1"/>
    <row r="3" ht="12.75" hidden="1">
      <c r="A3" s="3" t="s">
        <v>97</v>
      </c>
    </row>
    <row r="4" ht="12.75" hidden="1">
      <c r="A4" s="3" t="s">
        <v>98</v>
      </c>
    </row>
    <row r="5" ht="12.75" hidden="1">
      <c r="A5" s="3" t="s">
        <v>99</v>
      </c>
    </row>
    <row r="7" ht="21">
      <c r="A7" s="45" t="s">
        <v>50</v>
      </c>
    </row>
    <row r="8" ht="3.75" customHeight="1"/>
    <row r="9" spans="1:3" ht="14.25" customHeight="1">
      <c r="A9" s="424" t="s">
        <v>208</v>
      </c>
      <c r="B9" s="424"/>
      <c r="C9" s="44" t="s">
        <v>176</v>
      </c>
    </row>
    <row r="10" ht="12.75">
      <c r="B10" s="5" t="s">
        <v>502</v>
      </c>
    </row>
    <row r="12" ht="12.75">
      <c r="A12" s="44" t="s">
        <v>177</v>
      </c>
    </row>
    <row r="14" spans="1:3" ht="12.75">
      <c r="A14" s="5"/>
      <c r="B14" s="50" t="str">
        <f>Plaa2!B12</f>
        <v>Vloeistofdichte vloer</v>
      </c>
      <c r="C14" s="10" t="s">
        <v>211</v>
      </c>
    </row>
    <row r="15" spans="1:3" ht="26.25">
      <c r="A15" s="5"/>
      <c r="B15" s="5" t="str">
        <f>Plaa2!B13</f>
        <v>De vloer van lokalen waar oplosmiddel in vloeibare vorm aanwezig is, moet vloeistofdicht en oplosmiddelbestendig uitgevoerd worden. (Vlarem II, art. 5.41.2.4§4)</v>
      </c>
      <c r="C15" s="10"/>
    </row>
    <row r="16" spans="1:2" ht="12.75">
      <c r="A16" s="5"/>
      <c r="B16" s="50" t="str">
        <f>Plaa3!B29</f>
        <v>Goten en afvoerputten zijn hermetisch afgesloten</v>
      </c>
    </row>
    <row r="17" spans="1:2" ht="26.25">
      <c r="A17" s="5"/>
      <c r="B17" s="5" t="str">
        <f>Plaa3!B30</f>
        <v>Goten of afvoerputten in ruimtes waarin zich textielreinigingsmachines bevinden hermetisch afsluiten tijdens de droogreinigingsactiviteiten (Vlarem II, Art. 5.41.2.4.§ 1)</v>
      </c>
    </row>
    <row r="18" spans="1:2" ht="12.75">
      <c r="A18" s="5"/>
      <c r="B18" s="50" t="str">
        <f>Plaa3!B31</f>
        <v>Geen goten en afvoerputten aanwezig</v>
      </c>
    </row>
    <row r="19" spans="1:2" ht="26.25">
      <c r="A19" s="5"/>
      <c r="B19" s="5" t="str">
        <f>Plaa3!B32</f>
        <v>Er zijn geen goten of afvoerputten aanwezig in de ruimtes waarin zich textielmachines bevinden, noch in ruimtes waarnaar vloeistof kan aflopen vanuit de ruimte waarin zich textielmachines bevinden.</v>
      </c>
    </row>
    <row r="20" spans="1:3" ht="12.75">
      <c r="A20" s="5"/>
      <c r="B20" s="50" t="str">
        <f>Alge1!B12</f>
        <v>Jaarlijks nazicht goede staat vloeistofdichte vloer en inkuipingen.</v>
      </c>
      <c r="C20" s="3" t="s">
        <v>232</v>
      </c>
    </row>
    <row r="21" spans="1:2" ht="26.25">
      <c r="A21" s="5"/>
      <c r="B21" s="5" t="str">
        <f>Alge1!B13</f>
        <v>Regelmatig b.v. minstens jaarlijks nagaan of inkuipingen en vloeistofdichte vloer nog in goede staat zijn en geen lekken, barsten, openingen, … vertonen</v>
      </c>
    </row>
    <row r="22" spans="1:3" ht="12.75">
      <c r="A22" s="5"/>
      <c r="B22" s="50" t="str">
        <f>Alge4!B9</f>
        <v>Lek-kits voor opvang van lekken en morsen zijn aanwezig in betrokken ruimte.</v>
      </c>
      <c r="C22" s="3" t="s">
        <v>230</v>
      </c>
    </row>
    <row r="23" spans="1:2" ht="26.25">
      <c r="A23" s="5"/>
      <c r="B23" s="5" t="str">
        <f>Alge4!B10</f>
        <v>Het voorzien van de nodige adsorberende stoffen in het geval van calamiteiten, alsook het voorzien van lek-kits (adsorberende doeken, adsorberende cilindervormige kussens, handschoenen, veiligheidsbril, opvangbak,…)</v>
      </c>
    </row>
    <row r="24" spans="1:3" ht="12.75">
      <c r="A24" s="5"/>
      <c r="B24" s="50" t="str">
        <f>Alge3!B8</f>
        <v>Deskundig en opgeleid personeel</v>
      </c>
      <c r="C24" s="3" t="s">
        <v>231</v>
      </c>
    </row>
    <row r="25" spans="1:2" ht="41.25" customHeight="1">
      <c r="A25" s="5"/>
      <c r="B25" s="5" t="str">
        <f>Alge3!B9</f>
        <v>Machines mogen enkel bediend worden door de exploitant of door de schriftelijk door hem aangestelde personen die de noodzakelijke opleiding gekregen hebben, en die ook alle instructies hebben gekregen met betrekking tot hun verplichtingen in verband met de controle van de machine en van de emissies in het milieu. (Vlarem II, art. 5.41.2.4§6)</v>
      </c>
    </row>
    <row r="26" spans="1:3" ht="12.75">
      <c r="A26" s="57"/>
      <c r="B26" s="59" t="str">
        <f>Alge3!B16</f>
        <v>Bijscholing via vakbladen, beurzen, leveranciers, …</v>
      </c>
      <c r="C26" s="3" t="s">
        <v>231</v>
      </c>
    </row>
    <row r="27" spans="1:2" ht="12.75">
      <c r="A27" s="43"/>
      <c r="B27" s="5" t="str">
        <f>Alge3!B17</f>
        <v>Op de hoogte blijven van de laatste technologische ontwikkelingen (via vakbladen, bijscholing, leveranciers, constructeurs,…)</v>
      </c>
    </row>
    <row r="28" spans="1:3" ht="12.75">
      <c r="A28" s="57"/>
      <c r="B28" s="50" t="str">
        <f>Alge3!B10</f>
        <v>Storingen, calamiteiten, resulaten van metingen en controles bijhouden</v>
      </c>
      <c r="C28" s="3" t="s">
        <v>231</v>
      </c>
    </row>
    <row r="29" spans="1:2" ht="42" customHeight="1">
      <c r="A29" s="43"/>
      <c r="B29" s="5" t="str">
        <f>Alge3!B11</f>
        <v>De exploitant registreert alle storingen, calamiteiten en de resultaten van de voorgeschreven metingen en controles van de machines, zoals bepaald in dit artikel, in een logboek. Dat logboek wordt voor een periode van minstens 5 jaar na de laatste registratie bewaard en ter inzage van de toezichthoudende overheid gehouden. (Vlarem II, art. 5.41.2.3§3)</v>
      </c>
    </row>
    <row r="31" ht="21">
      <c r="A31" s="45" t="s">
        <v>212</v>
      </c>
    </row>
    <row r="32" ht="3" customHeight="1"/>
    <row r="33" spans="1:3" ht="12.75">
      <c r="A33" s="424" t="s">
        <v>208</v>
      </c>
      <c r="B33" s="424"/>
      <c r="C33" s="44" t="s">
        <v>233</v>
      </c>
    </row>
    <row r="34" spans="2:5" ht="12.75">
      <c r="B34" s="5" t="str">
        <f>Proc2!B6</f>
        <v>Geringe morsverliezen bij gebruik van oplosmiddelen, waardoor niettemin een beperkt risico op bodemverontreiniging.                                                                                                        </v>
      </c>
      <c r="C34" s="10" t="s">
        <v>209</v>
      </c>
      <c r="D34" s="3" t="s">
        <v>210</v>
      </c>
      <c r="E34" s="3" t="s">
        <v>211</v>
      </c>
    </row>
    <row r="36" ht="12.75">
      <c r="A36" s="44" t="s">
        <v>177</v>
      </c>
    </row>
    <row r="37" spans="2:4" ht="12.75">
      <c r="B37" s="50" t="str">
        <f>Proc1!B11</f>
        <v>Er worden alleen ontvlekkers gebruikt die geen PER of chloorkoolwaterstof bevatten. </v>
      </c>
      <c r="C37" s="3" t="s">
        <v>209</v>
      </c>
      <c r="D37" s="3" t="s">
        <v>210</v>
      </c>
    </row>
    <row r="38" ht="26.25">
      <c r="B38" s="5" t="str">
        <f>Proc1!B12</f>
        <v>Ontvlekkers niet op chloor-koolwaterstofbasis verdienen de voorkeur. Ontvlekkers met (mogelijke) carcinogene werking moeten vermeden worden.</v>
      </c>
    </row>
    <row r="39" spans="2:3" ht="12.75">
      <c r="B39" s="50" t="str">
        <f>Plaa2!B10</f>
        <v>Alle ontvlekkers ter hoogte van voor- en nabehandelingstafels zitten in kleine recipiënten (&lt; 1 l / 1 kg).</v>
      </c>
      <c r="C39" s="3" t="s">
        <v>211</v>
      </c>
    </row>
    <row r="40" ht="29.25" customHeight="1">
      <c r="B40" s="5" t="str">
        <f>Plaa2!B11</f>
        <v>Opslag van ontvlekkers ter hoogte van de voor- en nabehandelingstafels zo veel mogelijk beperken, aangezien hier vaak geen preventieve maatregelen worden voorzien. Concreet: geen enkel recipiënt heeft een inhoud van meer dan 1 l of 1 kg.</v>
      </c>
    </row>
    <row r="42" ht="21">
      <c r="A42" s="45" t="s">
        <v>234</v>
      </c>
    </row>
    <row r="43" ht="4.5" customHeight="1"/>
    <row r="44" spans="1:2" ht="12.75">
      <c r="A44" s="424" t="s">
        <v>208</v>
      </c>
      <c r="B44" s="424"/>
    </row>
    <row r="45" spans="2:5" ht="42.75" customHeight="1">
      <c r="B45" s="5" t="str">
        <f>Proc3!B6</f>
        <v>Het eigenlijke reinigen is een proces dat relatief weinig effecten heeft op het milieu. Door kleine lekken en door het “ademen” van de machine kunnen kleine hoeveelheden oplosmiddel in de lucht terecht komen. Door gemorste hoeveelheden oplosmiddel of lekken in (oudere) machines kan bodemverontreiniging ontstaan.</v>
      </c>
      <c r="C45" s="3" t="s">
        <v>232</v>
      </c>
      <c r="D45" s="3" t="s">
        <v>482</v>
      </c>
      <c r="E45" s="3" t="s">
        <v>497</v>
      </c>
    </row>
    <row r="47" ht="12.75">
      <c r="A47" s="44" t="s">
        <v>177</v>
      </c>
    </row>
    <row r="48" spans="1:3" ht="12.75">
      <c r="A48" s="54"/>
      <c r="B48" s="50" t="str">
        <f>Plaa3!B45</f>
        <v>Alternatieve reinigingsmachine zonder PER of Chloor-KWS maar met Greenearth of met KWS</v>
      </c>
      <c r="C48" s="3" t="s">
        <v>497</v>
      </c>
    </row>
    <row r="49" spans="1:2" ht="78.75">
      <c r="A49" s="54"/>
      <c r="B49" s="5" t="str">
        <f>Plaa3!B46</f>
        <v>Het vervangen van gechloreerde organische solventen door niet-gechloreerde solventen (vb: KWS) of andere producten, zoals siliconenverbindengen (vb: Greenearth), voornamelijk uit gezondheidsoverwegingen. Gechloreerde organische producten zoals PER zijn mogelijk carcinogeen voor de mens en vanuit het “voorzichtigheidsprincipe” dient hun gebruik zoveel mogelijke vermeden te worden. Eén van de mogelijkheden hiertoe is het vervangen door niet gechloreerde organische solventen. Het is technisch mogelijk textiel te reinigen met niet-gechloreerde koolwaterstoffen. De mengsels die hiervoor thans op de markt zijn bestaan uit iso-, n- en gedearomatiseerde paraffines en worden in de sector met de afkorting KWS genoemd. </v>
      </c>
    </row>
    <row r="50" spans="1:2" ht="92.25">
      <c r="A50" s="54"/>
      <c r="B50" s="5" t="str">
        <f>Plaa3!B47</f>
        <v>De intrinsieke reinigingscapaciteiten van KWS zijn echter minder dan die van PER. Een voordeel hiervan is wel dat KWS ook minder agressief voor textiel is en daarom een goed alternatief is voor R113, een CFK dat gebruikt werd voor het reinigen van fragielere kledingstukken zoals bijvoorbeeld leder. KWS kunnen niet gebruikt worden in de klassieke PER-reinigingsmachines. KWS zijn ontplofbaar en kunnen dus ongevallen veroorzaken. Commerciële KWS-reinigingsmachines hebben hiertoe één of meer van de volgende voorzieningen: inertisering met bijvoorbeeld stikstof, gebruik van vacuüm of een voldoende luchtdoorvoer. Het gebruik van CFK en HCFK is ook niet als alternatief te beschouwen omdat deze onder andere vanuit het standpunt van ozonafbraak of extreme broeikasgaswerking ongewenst zijn.</v>
      </c>
    </row>
    <row r="51" spans="2:3" ht="12.75">
      <c r="B51" s="50" t="str">
        <f>Proc3!B35</f>
        <v>Lekdetectie en reperatie</v>
      </c>
      <c r="C51" s="3" t="s">
        <v>482</v>
      </c>
    </row>
    <row r="52" ht="52.5">
      <c r="B52" s="5" t="str">
        <f>Proc3!B36</f>
        <v>Met behulp van een elektronische lekdetector kunnen PER-damplekken worden opgespoord. Een dergelijk toestel herkent niet of PER, rook of een ander gas aanwezig is, maar reageert uitsluitend op het verschil in geleidbaarheid tussen lucht en het te onderzoeken gasmengsel. Indien bij vaststellen van een lek ook op korte termijn het lek hersteld wordt, vermindert dit sterk de emissies naar bodem door lekken.</v>
      </c>
    </row>
    <row r="53" spans="2:3" ht="26.25">
      <c r="B53" s="5" t="str">
        <f>Alge1!B9</f>
        <v>Wekelijks moet elke reinigingsmachine op lekken gecontroleerd worden. Die kwalitatieve meting moet gebeuren met een draagbaar elektronisch lekdetectietoestel. (Vlarem II, art. 5.41.2.3§2)</v>
      </c>
      <c r="C53" s="3" t="s">
        <v>232</v>
      </c>
    </row>
    <row r="54" spans="2:3" ht="52.5">
      <c r="B54" s="5" t="str">
        <f>Plaa3!B63</f>
        <v>De inrichting moet uitgerust zijn met een draagbare gasdetector om eventuele solventenlekken op te sporen. Met behulp van deze detector dient de exploitant regelmatig in de werkplaats de dichtheid controleren van de buizen en pakkingen die het solvent bevatten. (Exploitatievoorwaarden voor chemische textielreiniging met solventen - Publicatie voor de Brusselse ondernemingen)</v>
      </c>
      <c r="C54" s="3" t="s">
        <v>497</v>
      </c>
    </row>
    <row r="55" spans="2:4" ht="12.75">
      <c r="B55" s="50" t="str">
        <f>Alge1!B10</f>
        <v>Jaarlijks groot nazicht van reinigingsmachine</v>
      </c>
      <c r="C55" s="3" t="s">
        <v>232</v>
      </c>
      <c r="D55" s="3" t="s">
        <v>485</v>
      </c>
    </row>
    <row r="56" ht="26.25">
      <c r="B56" s="5" t="str">
        <f>Alge1!B11</f>
        <v>Minstens om het jaar moet elke reinigingsmachine een grondige onderhouds- en controlebeurt ondergaan zodat de goede werking van de machines steeds is gegarandeerd. (Vlarem II, art. 5.41.2.3§1)</v>
      </c>
    </row>
    <row r="57" spans="2:3" ht="12.75">
      <c r="B57" s="5" t="str">
        <f>Alge3!B19</f>
        <v>Regelmatig volgende zaken controleren en tijdig vervangen/reviseren (indien van toepassing): </v>
      </c>
      <c r="C57" s="3" t="s">
        <v>231</v>
      </c>
    </row>
    <row r="58" ht="12.75">
      <c r="B58" s="5" t="str">
        <f>Alge3!B20</f>
        <v>* de luchtschacht</v>
      </c>
    </row>
    <row r="59" ht="12.75">
      <c r="B59" s="5" t="str">
        <f>Alge3!B21</f>
        <v>* alle flenspakkingen</v>
      </c>
    </row>
    <row r="60" ht="12.75">
      <c r="B60" s="5" t="str">
        <f>Alge3!B22</f>
        <v>* alle afsluiters</v>
      </c>
    </row>
    <row r="61" ht="12.75">
      <c r="B61" s="5" t="str">
        <f>Alge3!B23</f>
        <v>* alle luchtcilinders</v>
      </c>
    </row>
    <row r="62" ht="12.75">
      <c r="B62" s="5" t="str">
        <f>Alge3!B24</f>
        <v>* alle rubberen verbindingen</v>
      </c>
    </row>
    <row r="63" ht="12.75">
      <c r="B63" s="5" t="str">
        <f>Alge3!B25</f>
        <v>* filtermantel met koeling</v>
      </c>
    </row>
    <row r="64" ht="12.75">
      <c r="B64" s="5" t="str">
        <f>Alge3!B26</f>
        <v>* twee stoomventielen (voor de destillatie en de droogeenheid)</v>
      </c>
    </row>
    <row r="65" ht="12.75">
      <c r="B65" s="5" t="str">
        <f>Alge3!B27</f>
        <v>* koelwaterleidingnet</v>
      </c>
    </row>
    <row r="66" ht="12.75">
      <c r="B66" s="5" t="str">
        <f>Alge3!B28</f>
        <v>* eventueel vuildoorlatende filterkaarsen</v>
      </c>
    </row>
    <row r="67" ht="12.75">
      <c r="B67" s="5" t="str">
        <f>Alge3!B29</f>
        <v>* wasmotor</v>
      </c>
    </row>
    <row r="68" ht="12.75">
      <c r="B68" s="5" t="str">
        <f>Alge3!B30</f>
        <v>* centrifugemotor</v>
      </c>
    </row>
    <row r="69" ht="12.75">
      <c r="B69" s="5" t="str">
        <f>Alge3!B31</f>
        <v>* programmakaartmotor</v>
      </c>
    </row>
    <row r="70" ht="12.75">
      <c r="B70" s="5" t="str">
        <f>Alge3!B32</f>
        <v>* ventilatormotor</v>
      </c>
    </row>
    <row r="71" ht="39">
      <c r="B71" s="4" t="str">
        <f>Proc6!B11</f>
        <v>Alle onderhoudwerken (zowel het periodiek b.v. jaarlijks onderhoud als onderhoudswerken na een panne) dienen deskundig uitgevoerd te worden door hiertoe opgeleid personeel of firma. Het periodiek onderhoud dient te gebeuren aan de hand van een checklist (aandachtspunten, kritische punten, opmerkingen/bemerkingen vorige controle,...)</v>
      </c>
    </row>
    <row r="72" spans="2:3" ht="12.75">
      <c r="B72" s="50" t="str">
        <f>Plaa3!B35</f>
        <v>Voldoend ruime opvangbak onder de reinigingsmachine en hulpapparatuur</v>
      </c>
      <c r="C72" s="10"/>
    </row>
    <row r="73" spans="2:3" ht="92.25">
      <c r="B73" s="4" t="str">
        <f>Plaa3!B36</f>
        <v>Elke reinigingsmachine heeft een opvangbak die hittebestendig, onbrandbaar en geschikt is voor de opvang van het oplosmiddel. Het volume van deze opvangbak moet minstens gelijk zijn aan de helft van de inhoud van de reservoirs of aan de inhoud van het grootste reservoir, als de inhoud van het grootste reservoir groter is dan de helft van de inhoud van alle reservoirs. Deze opvangbak moet duidelijk afhellen naar een goed zichtbare plaats, zodat een visuele controle van mogelijk uitgelopen oplosmiddel steeds mogelijk is. De opvangbak moet ook een druipzone voor de machine en een behandelingsruimte achter de machine omvatten. De behandelingsruimte achter de machine moet voldoende groot zijn zodat alle in gebruik zijnde hulpmiddelen en recipiënten voor contactwater erin opgesteld kunnen worden. (Vlarem II, Art. 5.41.2.4.§ 3)</v>
      </c>
      <c r="C73" s="10"/>
    </row>
    <row r="74" spans="2:3" ht="12.75">
      <c r="B74" s="4"/>
      <c r="C74" s="10"/>
    </row>
    <row r="76" spans="1:2" ht="12.75">
      <c r="A76" s="424" t="s">
        <v>208</v>
      </c>
      <c r="B76" s="424"/>
    </row>
    <row r="77" spans="2:3" ht="12.75">
      <c r="B77" s="5" t="str">
        <f>Proc3!B15</f>
        <v>Tijdens reinigingscyclus de machine openen.</v>
      </c>
      <c r="C77" s="3" t="s">
        <v>482</v>
      </c>
    </row>
    <row r="78" ht="26.25">
      <c r="B78" s="5" t="str">
        <f>Proc3!B16</f>
        <v>Indien de machine tijdens de reinigingscyclus geopend wordt, kunnen geconcentreerde PER-dampen of ook PER-vloeistof vrijkomen. </v>
      </c>
    </row>
    <row r="80" ht="12.75">
      <c r="A80" s="44" t="s">
        <v>177</v>
      </c>
    </row>
    <row r="81" spans="1:3" ht="12.75">
      <c r="A81" s="54"/>
      <c r="B81" s="50" t="str">
        <f>Plaa3!B45</f>
        <v>Alternatieve reinigingsmachine zonder PER of Chloor-KWS maar met Greenearth of met KWS</v>
      </c>
      <c r="C81" s="3" t="s">
        <v>497</v>
      </c>
    </row>
    <row r="82" spans="1:2" ht="78.75">
      <c r="A82" s="54"/>
      <c r="B82" s="5" t="str">
        <f>Plaa3!B46</f>
        <v>Het vervangen van gechloreerde organische solventen door niet-gechloreerde solventen (vb: KWS) of andere producten, zoals siliconenverbindengen (vb: Greenearth), voornamelijk uit gezondheidsoverwegingen. Gechloreerde organische producten zoals PER zijn mogelijk carcinogeen voor de mens en vanuit het “voorzichtigheidsprincipe” dient hun gebruik zoveel mogelijke vermeden te worden. Eén van de mogelijkheden hiertoe is het vervangen door niet gechloreerde organische solventen. Het is technisch mogelijk textiel te reinigen met niet-gechloreerde koolwaterstoffen. De mengsels die hiervoor thans op de markt zijn bestaan uit iso-, n- en gedearomatiseerde paraffines en worden in de sector met de afkorting KWS genoemd. </v>
      </c>
    </row>
    <row r="83" spans="1:2" ht="92.25">
      <c r="A83" s="54"/>
      <c r="B83" s="5" t="str">
        <f>Plaa3!B47</f>
        <v>De intrinsieke reinigingscapaciteiten van KWS zijn echter minder dan die van PER. Een voordeel hiervan is wel dat KWS ook minder agressief voor textiel is en daarom een goed alternatief is voor R113, een CFK dat gebruikt werd voor het reinigen van fragielere kledingstukken zoals bijvoorbeeld leder. KWS kunnen niet gebruikt worden in de klassieke PER-reinigingsmachines. KWS zijn ontplofbaar en kunnen dus ongevallen veroorzaken. Commerciële KWS-reinigingsmachines hebben hiertoe één of meer van de volgende voorzieningen: inertisering met bijvoorbeeld stikstof, gebruik van vacuüm of een voldoende luchtdoorvoer. Het gebruik van CFK en HCFK is ook niet als alternatief te beschouwen omdat deze onder andere vanuit het standpunt van ozonafbraak of extreme broeikasgaswerking ongewenst zijn.</v>
      </c>
    </row>
    <row r="84" spans="2:3" ht="12.75">
      <c r="B84" s="50" t="str">
        <f>Plaa3!B15</f>
        <v>Automatisch afgrendelsysteem voor laaddeur en spelden- en pluizenvanger</v>
      </c>
      <c r="C84" s="3" t="s">
        <v>497</v>
      </c>
    </row>
    <row r="85" ht="26.25">
      <c r="B85" s="5" t="str">
        <f>Plaa3!B16</f>
        <v>de machines moeten uitgerust zijn met: een automatische afgrendelsysteem van de laaddeur, spelden- en pluizenvanger, dat ervoor zorgt dat die pas geopend kunnen worden nadat de droogcyclus volledig is afgelopen (Vlarem II, Art. 5.41.2.2.§ 2)</v>
      </c>
    </row>
    <row r="86" spans="2:3" ht="12.75">
      <c r="B86" s="50" t="str">
        <f>Plaa3!B35</f>
        <v>Voldoend ruime opvangbak onder de reinigingsmachine en hulpapparatuur</v>
      </c>
      <c r="C86" s="3" t="s">
        <v>497</v>
      </c>
    </row>
    <row r="87" ht="92.25">
      <c r="B87" s="5" t="str">
        <f>Plaa3!B36</f>
        <v>Elke reinigingsmachine heeft een opvangbak die hittebestendig, onbrandbaar en geschikt is voor de opvang van het oplosmiddel. Het volume van deze opvangbak moet minstens gelijk zijn aan de helft van de inhoud van de reservoirs of aan de inhoud van het grootste reservoir, als de inhoud van het grootste reservoir groter is dan de helft van de inhoud van alle reservoirs. Deze opvangbak moet duidelijk afhellen naar een goed zichtbare plaats, zodat een visuele controle van mogelijk uitgelopen oplosmiddel steeds mogelijk is. De opvangbak moet ook een druipzone voor de machine en een behandelingsruimte achter de machine omvatten. De behandelingsruimte achter de machine moet voldoende groot zijn zodat alle in gebruik zijnde hulpmiddelen en recipiënten voor contactwater erin opgesteld kunnen worden. (Vlarem II, Art. 5.41.2.4.§ 3)</v>
      </c>
    </row>
    <row r="88" spans="2:3" ht="12.75">
      <c r="B88" s="50" t="str">
        <f>Plaa3!B35</f>
        <v>Voldoend ruime opvangbak onder de reinigingsmachine en hulpapparatuur</v>
      </c>
      <c r="C88" s="3" t="s">
        <v>497</v>
      </c>
    </row>
    <row r="89" ht="92.25" customHeight="1">
      <c r="B89" s="5" t="str">
        <f>Plaa3!B36</f>
        <v>Elke reinigingsmachine heeft een opvangbak die hittebestendig, onbrandbaar en geschikt is voor de opvang van het oplosmiddel. Het volume van deze opvangbak moet minstens gelijk zijn aan de helft van de inhoud van de reservoirs of aan de inhoud van het grootste reservoir, als de inhoud van het grootste reservoir groter is dan de helft van de inhoud van alle reservoirs. Deze opvangbak moet duidelijk afhellen naar een goed zichtbare plaats, zodat een visuele controle van mogelijk uitgelopen oplosmiddel steeds mogelijk is. De opvangbak moet ook een druipzone voor de machine en een behandelingsruimte achter de machine omvatten. De behandelingsruimte achter de machine moet voldoende groot zijn zodat alle in gebruik zijnde hulpmiddelen en recipiënten voor contactwater erin opgesteld kunnen worden. (Vlarem II, Art. 5.41.2.4.§ 3)</v>
      </c>
    </row>
    <row r="90" ht="78.75">
      <c r="B90" s="5" t="str">
        <f>Plaa3!B26</f>
        <v>Het is verboden de laaddeur van een machine voor het einde van het droog-/ontgeuringsproces te openen. De laaddeur is voorzien van een beveiligd, automatisch afgrendelsysteem dat elke manuele opening voor het einde van het droog-/ontgeuringsproces verhindert, behalve in uiterst dringende gevallen, met name bij een nakend ongeval of een storing. De andere openingen van de machine zijn
uitgerust met een systeem dat de machine stillegt bij opening tijdens de werking van de machine.
(Exploitatievoorwaarden voor chemische textielreiniging met solventen - Publicatie voor de Brusselse ondernemingen)</v>
      </c>
    </row>
    <row r="93" spans="1:2" ht="12.75">
      <c r="A93" s="424" t="s">
        <v>208</v>
      </c>
      <c r="B93" s="424"/>
    </row>
    <row r="94" spans="1:3" ht="39">
      <c r="A94" s="44"/>
      <c r="B94" s="57" t="str">
        <f>Proc4!B5</f>
        <v>Bij het manueel vullen kan product gemorst worden en/of kan men de machine gaan overvullen. Bij het automatisch vullen van de machine dienen regelmatig nieuwe vaten aangesloten te worden en lege vaten vervangen te worden. Bij deze handelingen bestaat er een zeker risico op bodemverontreiniging.</v>
      </c>
      <c r="C94" s="3" t="s">
        <v>55</v>
      </c>
    </row>
    <row r="95" spans="2:3" ht="12.75">
      <c r="B95" s="5" t="str">
        <f>Proc3!B17</f>
        <v>Reservoirs of recipiënten in de machine overvullen.</v>
      </c>
      <c r="C95" s="3" t="s">
        <v>482</v>
      </c>
    </row>
    <row r="96" ht="12.75">
      <c r="B96" s="5" t="str">
        <f>Proc3!B18</f>
        <v>Destillator, de reinigingsruimte en de verschillende reservoirs … zijn risicopunten voor overvullen.</v>
      </c>
    </row>
    <row r="98" ht="12.75">
      <c r="A98" s="44" t="s">
        <v>177</v>
      </c>
    </row>
    <row r="99" spans="2:3" ht="12.75">
      <c r="B99" s="50" t="str">
        <f>Plaa3!B45</f>
        <v>Alternatieve reinigingsmachine zonder PER of Chloor-KWS maar met Greenearth of met KWS</v>
      </c>
      <c r="C99" s="3" t="s">
        <v>497</v>
      </c>
    </row>
    <row r="100" ht="78.75">
      <c r="B100" s="5" t="str">
        <f>Plaa3!B46</f>
        <v>Het vervangen van gechloreerde organische solventen door niet-gechloreerde solventen (vb: KWS) of andere producten, zoals siliconenverbindengen (vb: Greenearth), voornamelijk uit gezondheidsoverwegingen. Gechloreerde organische producten zoals PER zijn mogelijk carcinogeen voor de mens en vanuit het “voorzichtigheidsprincipe” dient hun gebruik zoveel mogelijke vermeden te worden. Eén van de mogelijkheden hiertoe is het vervangen door niet gechloreerde organische solventen. Het is technisch mogelijk textiel te reinigen met niet-gechloreerde koolwaterstoffen. De mengsels die hiervoor thans op de markt zijn bestaan uit iso-, n- en gedearomatiseerde paraffines en worden in de sector met de afkorting KWS genoemd. </v>
      </c>
    </row>
    <row r="101" ht="92.25">
      <c r="B101" s="5" t="str">
        <f>Plaa3!B47</f>
        <v>De intrinsieke reinigingscapaciteiten van KWS zijn echter minder dan die van PER. Een voordeel hiervan is wel dat KWS ook minder agressief voor textiel is en daarom een goed alternatief is voor R113, een CFK dat gebruikt werd voor het reinigen van fragielere kledingstukken zoals bijvoorbeeld leder. KWS kunnen niet gebruikt worden in de klassieke PER-reinigingsmachines. KWS zijn ontplofbaar en kunnen dus ongevallen veroorzaken. Commerciële KWS-reinigingsmachines hebben hiertoe één of meer van de volgende voorzieningen: inertisering met bijvoorbeeld stikstof, gebruik van vacuüm of een voldoende luchtdoorvoer. Het gebruik van CFK en HCFK is ook niet als alternatief te beschouwen omdat deze onder andere vanuit het standpunt van ozonafbraak of extreme broeikasgaswerking ongewenst zijn.</v>
      </c>
    </row>
    <row r="102" spans="2:3" ht="12.75">
      <c r="B102" s="50" t="str">
        <f>Plaa3!B17</f>
        <v>Vulstreep op laaddeur, oplosmiddelentanks en destillator</v>
      </c>
      <c r="C102" s="3" t="s">
        <v>497</v>
      </c>
    </row>
    <row r="103" ht="26.25">
      <c r="B103" s="5" t="str">
        <f>Plaa3!B18</f>
        <v>de machines moeten uitgerust zijn met: een vulstreep op de laaddeur, de oplosmiddeltanks en de destillator als beveiliging tegen overvullen. De machine mag nooit boven deze vulstreep geladen worden (Vlarem II, Art. 5.41.2.2.§ 2)</v>
      </c>
    </row>
    <row r="104" spans="1:2" ht="12.75">
      <c r="A104" s="97"/>
      <c r="B104" s="50" t="str">
        <f>Plaa3!B19</f>
        <v>Automatisch systeem met overvulbeveiliging op laaddeur, oplosmiddelentanks en destillator</v>
      </c>
    </row>
    <row r="105" ht="26.25">
      <c r="B105" s="5" t="str">
        <f>Plaa3!B20</f>
        <v>In plaats van de minimale beveiliging met laadstreep cfr. VLAREM wordt gebruik gemaakt van een automatische bescherming tegen overvulling.</v>
      </c>
    </row>
    <row r="106" spans="2:3" ht="12.75">
      <c r="B106" s="50" t="str">
        <f>Plaa3!B21</f>
        <v>Dubbele controle tegen overkoken van destillatieketel</v>
      </c>
      <c r="C106" s="3" t="s">
        <v>497</v>
      </c>
    </row>
    <row r="107" ht="26.25">
      <c r="B107" s="5" t="str">
        <f>Plaa3!B22</f>
        <v>de machines moeten uitgerust zijn met: een dubbele controle tegen het overkoken van de destillatieketel (Vlarem II, Art. 5.41.2.2.§ 2)</v>
      </c>
    </row>
    <row r="108" spans="2:3" ht="12.75">
      <c r="B108" s="50" t="str">
        <f>Plaa3!B35</f>
        <v>Voldoend ruime opvangbak onder de reinigingsmachine en hulpapparatuur</v>
      </c>
      <c r="C108" s="3" t="s">
        <v>497</v>
      </c>
    </row>
    <row r="109" ht="92.25">
      <c r="B109" s="59" t="str">
        <f>Plaa3!B36</f>
        <v>Elke reinigingsmachine heeft een opvangbak die hittebestendig, onbrandbaar en geschikt is voor de opvang van het oplosmiddel. Het volume van deze opvangbak moet minstens gelijk zijn aan de helft van de inhoud van de reservoirs of aan de inhoud van het grootste reservoir, als de inhoud van het grootste reservoir groter is dan de helft van de inhoud van alle reservoirs. Deze opvangbak moet duidelijk afhellen naar een goed zichtbare plaats, zodat een visuele controle van mogelijk uitgelopen oplosmiddel steeds mogelijk is. De opvangbak moet ook een druipzone voor de machine en een behandelingsruimte achter de machine omvatten. De behandelingsruimte achter de machine moet voldoende groot zijn zodat alle in gebruik zijnde hulpmiddelen en recipiënten voor contactwater erin opgesteld kunnen worden. (Vlarem II, Art. 5.41.2.4.§ 3)</v>
      </c>
    </row>
    <row r="110" spans="2:3" ht="12.75">
      <c r="B110" s="50" t="str">
        <f>Plaa1!B26</f>
        <v>Opslag in beveiligde container - aansluiting via leidingen en niet door overgieten</v>
      </c>
      <c r="C110" s="10" t="s">
        <v>100</v>
      </c>
    </row>
    <row r="111" ht="66">
      <c r="B111" s="5" t="str">
        <f>Plaa1!B27</f>
        <v>De solventen opslaan in een tank of een vat dat rechtstreeks op de machine aangesloten is via een systeem dat het veilig overbrengen van het solvent waarborgt (vb: safetainer). Het nemen van maatregelen om te voorkomen dat het vat of de tank zou overlopen bij het vullen. Dit vullen dient te gebueren via een buizensysteem voorzien van een hermetisch afgesloten kraan. De tank en het vat moeten onmiddellijk gesloten worden na het vullen. (Exploitatievoorwaarden voor chemische textielreiniging met solventen - Publicatie voor de Brusselse ondernemingen)</v>
      </c>
    </row>
    <row r="114" spans="1:2" ht="12.75">
      <c r="A114" s="424" t="s">
        <v>208</v>
      </c>
      <c r="B114" s="424"/>
    </row>
    <row r="115" spans="1:3" ht="12.75">
      <c r="A115" s="44"/>
      <c r="B115" s="57" t="str">
        <f>Proc6!B5</f>
        <v>Tijdens het onderhoud of de herstellingswerken kunnen reinigingsproducten (in machine, leidingen,…) vrijkomen.</v>
      </c>
      <c r="C115" s="10" t="s">
        <v>485</v>
      </c>
    </row>
    <row r="116" spans="1:3" ht="12.75">
      <c r="A116" s="44"/>
      <c r="B116" s="57"/>
      <c r="C116" s="10"/>
    </row>
    <row r="117" ht="12.75">
      <c r="A117" s="44" t="s">
        <v>177</v>
      </c>
    </row>
    <row r="118" spans="1:3" ht="12.75">
      <c r="A118" s="54"/>
      <c r="B118" s="50" t="str">
        <f>Plaa3!B45</f>
        <v>Alternatieve reinigingsmachine zonder PER of Chloor-KWS maar met Greenearth of met KWS</v>
      </c>
      <c r="C118" s="3" t="s">
        <v>497</v>
      </c>
    </row>
    <row r="119" spans="1:2" ht="78.75">
      <c r="A119" s="54"/>
      <c r="B119" s="5" t="str">
        <f>Plaa3!B46</f>
        <v>Het vervangen van gechloreerde organische solventen door niet-gechloreerde solventen (vb: KWS) of andere producten, zoals siliconenverbindengen (vb: Greenearth), voornamelijk uit gezondheidsoverwegingen. Gechloreerde organische producten zoals PER zijn mogelijk carcinogeen voor de mens en vanuit het “voorzichtigheidsprincipe” dient hun gebruik zoveel mogelijke vermeden te worden. Eén van de mogelijkheden hiertoe is het vervangen door niet gechloreerde organische solventen. Het is technisch mogelijk textiel te reinigen met niet-gechloreerde koolwaterstoffen. De mengsels die hiervoor thans op de markt zijn bestaan uit iso-, n- en gedearomatiseerde paraffines en worden in de sector met de afkorting KWS genoemd. </v>
      </c>
    </row>
    <row r="120" spans="1:2" ht="92.25">
      <c r="A120" s="54"/>
      <c r="B120" s="5" t="str">
        <f>Plaa3!B47</f>
        <v>De intrinsieke reinigingscapaciteiten van KWS zijn echter minder dan die van PER. Een voordeel hiervan is wel dat KWS ook minder agressief voor textiel is en daarom een goed alternatief is voor R113, een CFK dat gebruikt werd voor het reinigen van fragielere kledingstukken zoals bijvoorbeeld leder. KWS kunnen niet gebruikt worden in de klassieke PER-reinigingsmachines. KWS zijn ontplofbaar en kunnen dus ongevallen veroorzaken. Commerciële KWS-reinigingsmachines hebben hiertoe één of meer van de volgende voorzieningen: inertisering met bijvoorbeeld stikstof, gebruik van vacuüm of een voldoende luchtdoorvoer. Het gebruik van CFK en HCFK is ook niet als alternatief te beschouwen omdat deze onder andere vanuit het standpunt van ozonafbraak of extreme broeikasgaswerking ongewenst zijn.</v>
      </c>
    </row>
    <row r="121" spans="1:2" ht="12.75">
      <c r="A121" s="54"/>
      <c r="B121" s="50" t="str">
        <f>Proc6!B8</f>
        <v>Alle solventen worden uit de machine verwijderd voorafgaand aan elk onderhoud.</v>
      </c>
    </row>
    <row r="122" spans="2:4" ht="39">
      <c r="B122" s="5" t="str">
        <f>Proc6!B9</f>
        <v>Indien de machine tijdens of buiten het reinigingsproces stilvalt, dienen de noodzakelijke herstellingswerken op een deskundige manier te gebeuren en dient ervoor gezorgd te worden dat alle reinigingsproducten vooraf op een veilige manier verwijderd zijn uit de machine.</v>
      </c>
      <c r="C122" s="3" t="s">
        <v>482</v>
      </c>
      <c r="D122" s="3" t="s">
        <v>485</v>
      </c>
    </row>
    <row r="123" ht="12.75">
      <c r="B123" s="50" t="str">
        <f>Plaa3!B35</f>
        <v>Voldoend ruime opvangbak onder de reinigingsmachine en hulpapparatuur</v>
      </c>
    </row>
    <row r="124" ht="92.25">
      <c r="B124" s="5" t="str">
        <f>Plaa3!B36</f>
        <v>Elke reinigingsmachine heeft een opvangbak die hittebestendig, onbrandbaar en geschikt is voor de opvang van het oplosmiddel. Het volume van deze opvangbak moet minstens gelijk zijn aan de helft van de inhoud van de reservoirs of aan de inhoud van het grootste reservoir, als de inhoud van het grootste reservoir groter is dan de helft van de inhoud van alle reservoirs. Deze opvangbak moet duidelijk afhellen naar een goed zichtbare plaats, zodat een visuele controle van mogelijk uitgelopen oplosmiddel steeds mogelijk is. De opvangbak moet ook een druipzone voor de machine en een behandelingsruimte achter de machine omvatten. De behandelingsruimte achter de machine moet voldoende groot zijn zodat alle in gebruik zijnde hulpmiddelen en recipiënten voor contactwater erin opgesteld kunnen worden. (Vlarem II, Art. 5.41.2.4.§ 3)</v>
      </c>
    </row>
    <row r="125" ht="12.75">
      <c r="B125" s="5" t="str">
        <f>Proc6!B10</f>
        <v>Onderhoudwerken gebeuren door de leverancier van de machine of door firma met gelijkwaardige deskundigheid</v>
      </c>
    </row>
    <row r="126" spans="1:2" ht="39">
      <c r="A126" s="54"/>
      <c r="B126" s="5" t="str">
        <f>Proc6!B11</f>
        <v>Alle onderhoudwerken (zowel het periodiek b.v. jaarlijks onderhoud als onderhoudswerken na een panne) dienen deskundig uitgevoerd te worden door hiertoe opgeleid personeel of firma. Het periodiek onderhoud dient te gebeuren aan de hand van een checklist (aandachtspunten, kritische punten, opmerkingen/bemerkingen vorige controle,...)</v>
      </c>
    </row>
    <row r="127" ht="12.75">
      <c r="A127" s="54"/>
    </row>
    <row r="128" ht="21">
      <c r="A128" s="58" t="s">
        <v>461</v>
      </c>
    </row>
    <row r="129" ht="3.75" customHeight="1"/>
    <row r="130" spans="1:2" ht="12.75">
      <c r="A130" s="424" t="s">
        <v>208</v>
      </c>
      <c r="B130" s="424"/>
    </row>
    <row r="131" ht="26.25">
      <c r="B131" s="5" t="str">
        <f>Plaa4!B3</f>
        <v>De afvoer van bedrijfsafvalwater kan gebeuren via de riolering. Het contactwater werd vroeger frequent zonder enige filter via de riolering verwijderd.</v>
      </c>
    </row>
    <row r="132" ht="39" customHeight="1">
      <c r="B132" s="5" t="str">
        <f>Plaa4!B6</f>
        <v>Bij lekken of andere gebreken van de bedrijfs- of openbare riolering onstaat een groot gevaar op bodemverontreiniging. Contactwater bestaat is immers verzadigd met PER; vaak is ook een kleine hoeveelheid niet opgelost PER aanwezig. Koelwater kan uitzonderlijk - bij een lek in de koeler - met PER verontreinigd worden.</v>
      </c>
    </row>
    <row r="134" ht="12.75">
      <c r="A134" s="44" t="s">
        <v>177</v>
      </c>
    </row>
    <row r="135" ht="26.25">
      <c r="B135" s="50" t="str">
        <f>Plaa4!B11</f>
        <v>Het verwijderen van solventhoudende afvalstoffen, waaronder het contactwater, dient te gebeuren via erkende ophalers en verwerkers.</v>
      </c>
    </row>
    <row r="136" ht="12.75">
      <c r="B136" s="50" t="str">
        <f>Plaa1!B18</f>
        <v>Opslaan boven opvangbak</v>
      </c>
    </row>
    <row r="137" ht="78.75">
      <c r="B137" s="5" t="str">
        <f>Plaa1!B19</f>
        <v>De recipiënten voor oplosmiddelhoudende grond- en afvalstoffen evenals alle voorraden van reinigingsversterkers, zepen, detacheer- en impregneermiddelen boven of in een opvangbak plaatsen. Het volume van deze opvangbak moet hierbij minstens gelijk zijn aan de helft van de opgeslagen hoeveelheid oplosmiddel of de inhoud van de grootste recipiënt, als de inhoud van de grootste recipiënt groter is dan de helft van de totale opgeslagen hoeveelheid. Deze opvangbak moet vloeistofdicht, hittebestendig, onbrandbaar en geschikt zijn voor de opvang van de opgeslagen stoffen. Hij moet ook sterk genoeg zijn om weerstand te bieden aan de vloeistofdruk die als gevolg van een lek kan optreden (Vlarem II, art. 5.41.2.5)</v>
      </c>
    </row>
    <row r="138" ht="12.75">
      <c r="B138" s="50" t="str">
        <f>Plaa4!B20</f>
        <v>Contactwater via actiefkoolfilter naar riolering sturen</v>
      </c>
    </row>
    <row r="139" ht="26.25">
      <c r="B139" s="5" t="str">
        <f>Plaa4!B21</f>
        <v>Het contactwater over een actief-koolfilter naar de riolering sturen. Deze actief-koolfilter dient regelmatig vervangen te worden (afhankelijk van de capaciteit van de machine)</v>
      </c>
    </row>
    <row r="140" ht="12.75">
      <c r="A140" s="3" t="s">
        <v>178</v>
      </c>
    </row>
    <row r="141" ht="12.75">
      <c r="B141" s="50" t="str">
        <f>Plaa4!B14</f>
        <v>Geen directe verbinding met de riolering</v>
      </c>
    </row>
    <row r="142" ht="12.75">
      <c r="B142" s="5" t="str">
        <f>Plaa4!B15</f>
        <v>De machines mogen geen directe verbinding met de riolering hebben (Vlarem II, art. 5.41.2.2§2)</v>
      </c>
    </row>
    <row r="144" ht="21">
      <c r="A144" s="6" t="s">
        <v>462</v>
      </c>
    </row>
    <row r="145" ht="5.25" customHeight="1">
      <c r="A145" s="6"/>
    </row>
    <row r="146" spans="1:2" ht="12.75">
      <c r="A146" s="424" t="s">
        <v>208</v>
      </c>
      <c r="B146" s="424"/>
    </row>
    <row r="147" spans="2:3" ht="78.75">
      <c r="B147" s="5" t="str">
        <f>Plaa4!B4</f>
        <v>Voor de condensatie van het verdampte oplosmiddel worden twee systemen gebruikt. Het eerste systeem maakt gebruik van water als koelvloeistof. De koeltemperatuur is dus afhankelijk van de temperatuur van het (leiding)water. Bij continue doorstroming kan gekoeld worden tot 20 °C. Dit vergt echter een zeer groot waterverbruik. Door de relatief hoge temperatuur van het koelwater is de terugwinning van het oplosmiddel uit de drooglucht beperkt. Het tweede systeem, dat nu meer ingang vindt, maakt gebruik van een diepkoelaggregaat. Er is geen koelwater meer nodig en de temperatuur waarop condensatie gebeurt is veel lager (ongeveer 0 °C) waardoor veel minder restanten van het oplosmiddel in de drooglucht aanwezig blijven.</v>
      </c>
      <c r="C147" s="3" t="s">
        <v>101</v>
      </c>
    </row>
    <row r="148" spans="2:3" ht="39">
      <c r="B148" s="5" t="str">
        <f>Plaa4!B6</f>
        <v>Bij lekken of andere gebreken van de bedrijfs- of openbare riolering onstaat een groot gevaar op bodemverontreiniging. Contactwater bestaat is immers verzadigd met PER; vaak is ook een kleine hoeveelheid niet opgelost PER aanwezig. Koelwater kan uitzonderlijk - bij een lek in de koeler - met PER verontreinigd worden.</v>
      </c>
      <c r="C148" s="3" t="s">
        <v>101</v>
      </c>
    </row>
    <row r="150" ht="12.75">
      <c r="A150" s="44" t="s">
        <v>177</v>
      </c>
    </row>
    <row r="151" spans="1:3" ht="12.75">
      <c r="A151" s="54"/>
      <c r="B151" s="50" t="str">
        <f>Plaa4!B18</f>
        <v>Overschakelen op diepkoelaggregaat</v>
      </c>
      <c r="C151" s="3" t="s">
        <v>101</v>
      </c>
    </row>
    <row r="152" spans="1:2" ht="26.25">
      <c r="A152" s="54"/>
      <c r="B152" s="5" t="str">
        <f>Plaa4!B19</f>
        <v>Indien nog gebruikt wordt gemaakt van het eerste systeem (koelwater): overschakelen op het tweede systeem (diepkoelaggregaat).</v>
      </c>
    </row>
    <row r="153" spans="1:3" ht="12.75">
      <c r="A153" s="54"/>
      <c r="B153" s="50" t="str">
        <f>Plaa4!B16</f>
        <v>Koelwater opvangen en hergebruiken als waswater in natwasserij</v>
      </c>
      <c r="C153" s="3" t="s">
        <v>101</v>
      </c>
    </row>
    <row r="154" spans="1:2" ht="26.25">
      <c r="A154" s="54"/>
      <c r="B154" s="5" t="str">
        <f>Plaa4!B17</f>
        <v>Indien van toepassing: het gebruikte koelwater opvangen en gebruiken voor andere processen in het bedrijf (bijvoorbeeld natwassen).</v>
      </c>
    </row>
    <row r="155" spans="1:3" ht="12.75">
      <c r="A155" s="54"/>
      <c r="B155" s="50" t="str">
        <f>Plaa4!B14</f>
        <v>Geen directe verbinding met de riolering</v>
      </c>
      <c r="C155" s="3" t="s">
        <v>101</v>
      </c>
    </row>
    <row r="156" spans="1:2" ht="12.75">
      <c r="A156" s="54"/>
      <c r="B156" s="5" t="str">
        <f>Plaa4!B15</f>
        <v>De machines mogen geen directe verbinding met de riolering hebben (Vlarem II, art. 5.41.2.2§2)</v>
      </c>
    </row>
    <row r="158" ht="21">
      <c r="A158" s="58" t="s">
        <v>60</v>
      </c>
    </row>
    <row r="159" ht="4.5" customHeight="1"/>
    <row r="160" spans="1:2" ht="12.75">
      <c r="A160" s="424" t="s">
        <v>208</v>
      </c>
      <c r="B160" s="424"/>
    </row>
    <row r="161" spans="2:3" ht="39">
      <c r="B161" s="5" t="str">
        <f>Plaa1!B5</f>
        <v>De opslag van droogkuisproducten houdt een risico naar bodemverontreiniging in. De opslag gebeurt in vaten van enkele liters inhoud of in grotere recipiënten (vat of tank). Gelet op de hoge concentraties, kan bij lekken van de verpakking, een aanzienlijke bodemverontreiniging ontstaan. Hoe groter het recipiënt, hoe groter de mogelijke milieuschade.</v>
      </c>
      <c r="C161" s="3" t="s">
        <v>102</v>
      </c>
    </row>
    <row r="162" spans="2:3" ht="26.25">
      <c r="B162" s="5" t="str">
        <f>Plaa1!B6</f>
        <v>Het risico kan verhoogd worden bij gezamenlijke opslag met detergenthoudende stoffen. Immers simultaan vrijkomen naar de bodem van met name PER en detergenten verhoogt de wateroplosbaarheid van PER.</v>
      </c>
      <c r="C162" s="3" t="s">
        <v>102</v>
      </c>
    </row>
    <row r="163" spans="2:3" ht="26.25">
      <c r="B163" s="5" t="str">
        <f>Plaa1!B7</f>
        <v>Het risico kan verhoogd worden bij gezamenlijke opslag met brandbare producten. Immers bij een brand van deze laatste is de kans dat de PER-opslag beschadigd wordt groter en bijgevolg ook de kans op een lek naar de bodem.</v>
      </c>
      <c r="C163" s="3" t="s">
        <v>102</v>
      </c>
    </row>
    <row r="164" spans="2:3" ht="26.25">
      <c r="B164" s="5" t="str">
        <f>Plaa1!B8</f>
        <v>Het risico wordt verlaagd indien enkel producten ingezet worden die lichter zijn dan water zoals het geval bij inzet van enkel koolwaterstoffen of van siliconen afgeleide solventen (Greenearth).  </v>
      </c>
      <c r="C164" s="3" t="s">
        <v>102</v>
      </c>
    </row>
    <row r="166" ht="12.75">
      <c r="A166" s="44" t="s">
        <v>177</v>
      </c>
    </row>
    <row r="167" spans="2:4" ht="12.75">
      <c r="B167" s="50" t="str">
        <f>Plaa1!B12</f>
        <v>Oplosmiddelen opslaan in recipiënten die luchtdicht, voldoende sterk en geschikt zijn</v>
      </c>
      <c r="C167" s="3" t="s">
        <v>102</v>
      </c>
      <c r="D167" s="3" t="s">
        <v>103</v>
      </c>
    </row>
    <row r="168" ht="26.25">
      <c r="B168" s="5" t="str">
        <f>Plaa1!B13</f>
        <v>Oplosmiddelen opslaan in recipiënten die luchtdicht, voldoende sterk en geschikt zijn voor het opslaan van het oplosmiddel (Vlarem II, art. 5.41.2.5)</v>
      </c>
    </row>
    <row r="169" ht="39">
      <c r="B169" s="5" t="str">
        <f>Plaa1!B23</f>
        <v>De recipiënten moeten beschut zijn tegen schokken en warmte, en bewaard worden op een plaats die niet toegankelijk is voor het publiek. (Exploitatievoorwaarden voor chemische textielreiniging met solventen - Publicatie voor de Brusselse ondernemingen)</v>
      </c>
    </row>
    <row r="170" spans="2:3" ht="12.75">
      <c r="B170" s="50" t="str">
        <f>Plaa1!B14</f>
        <v>Solventafval in vaten van max 200 l</v>
      </c>
      <c r="C170" s="3" t="s">
        <v>102</v>
      </c>
    </row>
    <row r="171" ht="26.25">
      <c r="B171" s="5" t="str">
        <f>Plaa1!B15</f>
        <v>Door oplosmiddel vervuild vloeibaar en vast afval in een luchtdichte, onbrandbare en oplosmiddelbestendige recipiënt van maximaal 200 liter opslaan (Vlarem II, art. 5.41.2.5)</v>
      </c>
    </row>
    <row r="172" spans="2:3" ht="12.75">
      <c r="B172" s="50" t="str">
        <f>Plaa1!B18</f>
        <v>Opslaan boven opvangbak</v>
      </c>
      <c r="C172" s="3" t="s">
        <v>102</v>
      </c>
    </row>
    <row r="173" ht="78.75">
      <c r="B173" s="5" t="str">
        <f>Plaa1!B19</f>
        <v>De recipiënten voor oplosmiddelhoudende grond- en afvalstoffen evenals alle voorraden van reinigingsversterkers, zepen, detacheer- en impregneermiddelen boven of in een opvangbak plaatsen. Het volume van deze opvangbak moet hierbij minstens gelijk zijn aan de helft van de opgeslagen hoeveelheid oplosmiddel of de inhoud van de grootste recipiënt, als de inhoud van de grootste recipiënt groter is dan de helft van de totale opgeslagen hoeveelheid. Deze opvangbak moet vloeistofdicht, hittebestendig, onbrandbaar en geschikt zijn voor de opvang van de opgeslagen stoffen. Hij moet ook sterk genoeg zijn om weerstand te bieden aan de vloeistofdruk die als gevolg van een lek kan optreden (Vlarem II, art. 5.41.2.5)</v>
      </c>
    </row>
    <row r="174" spans="2:3" ht="12.75">
      <c r="B174" s="50" t="str">
        <f>Plaa1!B20</f>
        <v>Solventen en detergenthoudende reinigingsmiddelen apart opslaan</v>
      </c>
      <c r="C174" s="3" t="s">
        <v>102</v>
      </c>
    </row>
    <row r="175" ht="52.5">
      <c r="B175" s="5" t="str">
        <f>Plaa1!B21</f>
        <v>De recipiënten voor oplosmiddelhoudende grond- en afvalstoffen worden gescheiden opgeslagen van alle voorraden van reinigingsversterkers, zepen, detacheer- en impregneermiddelen. Op die manier wordt vermeden dat bij en eventueel lek naar de bodem de oplosbaarheid van oplosmiddelen sterk verhoogd wordt in het geval van een simultaan vrijkomen met detergenthoudende producten.</v>
      </c>
    </row>
    <row r="176" spans="2:3" ht="12.75">
      <c r="B176" s="50" t="str">
        <f>Plaa1!B28</f>
        <v>Opslag op &gt; 2m afstand tot warmtebronnen en ontvlambare stoffen of hiervan gescheiden door brandwerende scheidingswand</v>
      </c>
      <c r="C176" s="3" t="s">
        <v>102</v>
      </c>
    </row>
    <row r="177" ht="52.5">
      <c r="B177" s="5" t="str">
        <f>Plaa1!B29</f>
        <v>De recipiënten met oplosmiddel op ten minste twee meter afstand plaatsen van licht ontvlambare stoffen en apparatuur met een oppervlaktetemperatuur hoger dan 150 °C, tenzij tussen de recipiënten en de licht ontvlambare stoffen of apparatuur met een oppervlaktetemperatuur hoger dan 150 °C een brandwerende scheidingswand aanwezig is of tenzij ze zich in een brandwerende kast of kist bevinden (Vlarem II, art. 5.41.2.5)</v>
      </c>
    </row>
    <row r="178" ht="12.75">
      <c r="B178" s="50" t="str">
        <f>Plaa1!B36</f>
        <v>Milieukast of brandwerende milieukast</v>
      </c>
    </row>
    <row r="179" ht="26.25">
      <c r="B179" s="5" t="str">
        <f>Plaa1!B37</f>
        <v>Het plaatsen van de producten en milieu-kasten (niet-brandwerende veiligheidskasten) of brandwerende veiligheidskasten met opvanglegborden en eventueel onderaan een opvangbak met rooster. </v>
      </c>
    </row>
    <row r="181" ht="21">
      <c r="A181" s="6" t="s">
        <v>56</v>
      </c>
    </row>
    <row r="182" ht="4.5" customHeight="1"/>
    <row r="183" spans="1:6" ht="12.75">
      <c r="A183" s="424" t="s">
        <v>208</v>
      </c>
      <c r="B183" s="424"/>
      <c r="C183" s="3" t="s">
        <v>232</v>
      </c>
      <c r="D183" s="3" t="s">
        <v>482</v>
      </c>
      <c r="E183" s="3" t="s">
        <v>497</v>
      </c>
      <c r="F183" s="3" t="s">
        <v>314</v>
      </c>
    </row>
    <row r="184" ht="26.25">
      <c r="B184" s="5" t="str">
        <f>Proc5!B5</f>
        <v>Tijdens het overbrengen van de recipiënten (vaten, bidons, flessen,…) met reinigingsproducten naar de opslagplaats kunnen zich calamiteiten voordoen, waardoor een risico ontstaat op lekken van deze recipiënten.</v>
      </c>
    </row>
    <row r="185" ht="26.25">
      <c r="B185" s="5" t="str">
        <f>Proc5!B6</f>
        <v>De recipiënten dienen te voldoen aan bepaalde kwaliteitseisen. Indien deze recipiënten niet goed afsluiten of beschadigd zijn, is er een zeker gevaar op lekken van de inhoud ervan.</v>
      </c>
    </row>
    <row r="186" ht="39">
      <c r="B186" s="5" t="str">
        <f>Proc5!B7</f>
        <v>Het risico kan verhoogd worden indien de verplaatsing van de vrachtwagen naar de opslagplaats of machine of terug langs plaatsen passeert waarbij het omvallen van een recipiënt kan leiden tot schade aan het recipiënt. Voorbeelden zijn trappen, laadkaaien,  onvoldoende beveiligde liften, ...</v>
      </c>
    </row>
    <row r="188" ht="12.75">
      <c r="A188" s="44" t="s">
        <v>177</v>
      </c>
    </row>
    <row r="189" ht="12.75">
      <c r="B189" s="50" t="str">
        <f>Proc5!B10</f>
        <v>Verplaatsing van recipiënten met (afval)reinigingsproduct gebeurt door vast en opgeleid personeel</v>
      </c>
    </row>
    <row r="190" ht="66">
      <c r="B190" s="5" t="str">
        <f>Proc5!B11</f>
        <v>Het laden en lossen en verplaatsen van recipiënten met reinigingsproducten gebeurt hetzij door de eigenaar, hetzij door opgeleid personeel, hetzij door een personeelslid van de leverancier ; in elk geval heeft deze persoon een opleiding gehad over de risico's van deze producten en over de te nemen acties in geval van lekken of morsen. Het laden en afvoeren van afvalstoffen gebeurt door een erkende ophaler. De afvalstoffen worden opgeslagen en afvervoerd in vaten die door de erkende verwerker zijn goedgekeurd.</v>
      </c>
    </row>
    <row r="191" ht="12.75">
      <c r="B191" s="50" t="str">
        <f>Proc5!B12</f>
        <v>Lege opvangbakken aanwezig tijdens laden / lossen recipiënten met solventen</v>
      </c>
    </row>
    <row r="192" ht="39">
      <c r="B192" s="5" t="str">
        <f>Proc5!B13</f>
        <v>Tijdens het overbrengen van de recipiënten met reinigingsproducten naar de opslagplaats dienen lege opvangbakken aanwezig te zijn, waar de eventuele lekkende recipiënten onmiddellijk in kunnen geplaatst worden. Deze opvangbakken dienen voldoende groot te zijn en te kunnen weerstaan aan de aard van het product.</v>
      </c>
    </row>
    <row r="193" ht="12.75">
      <c r="B193" s="94" t="s">
        <v>59</v>
      </c>
    </row>
    <row r="194" s="49" customFormat="1" ht="12.75">
      <c r="B194" s="12"/>
    </row>
    <row r="195" ht="12.75">
      <c r="B195" s="50" t="str">
        <f>Proc5!B18</f>
        <v>Specifieke risicoplaatsen op route van en naar vrachtwagen zijn vermeden of zijn beveiligd</v>
      </c>
    </row>
    <row r="196" ht="39">
      <c r="B196" s="5" t="str">
        <f>Proc5!B19</f>
        <v>De route waarlangs vaten e.d. van en naar de vrachtwaten verplaatst worden, is veilig, in die zin dat een vat niet kan vallen of slechts van een zeer beperkte hoogte kan vallen (concreet betekent dit b.v. vermijden trappen; hoogteverschillen overwinnen met lift; relingen waar nodig ;  ...)</v>
      </c>
    </row>
  </sheetData>
  <sheetProtection/>
  <mergeCells count="10">
    <mergeCell ref="A9:B9"/>
    <mergeCell ref="A33:B33"/>
    <mergeCell ref="A44:B44"/>
    <mergeCell ref="A76:B76"/>
    <mergeCell ref="A160:B160"/>
    <mergeCell ref="A183:B183"/>
    <mergeCell ref="A93:B93"/>
    <mergeCell ref="A114:B114"/>
    <mergeCell ref="A130:B130"/>
    <mergeCell ref="A146:B146"/>
  </mergeCells>
  <printOptions horizontalCentered="1"/>
  <pageMargins left="0.7874015748031497" right="0.7874015748031497" top="0.984251968503937" bottom="0.984251968503937" header="0.5118110236220472" footer="0.5118110236220472"/>
  <pageSetup horizontalDpi="300" verticalDpi="300" orientation="portrait" paperSize="9" scale="74" r:id="rId1"/>
  <headerFooter alignWithMargins="0">
    <oddHeader>&amp;RBijlage 3-3: Groepering</oddHeader>
    <oddFooter>&amp;CMethodiek BPBP</oddFooter>
  </headerFooter>
  <rowBreaks count="9" manualBreakCount="9">
    <brk id="29" max="1" man="1"/>
    <brk id="40" max="1" man="1"/>
    <brk id="74" max="1" man="1"/>
    <brk id="91" max="1" man="1"/>
    <brk id="112" max="1" man="1"/>
    <brk id="126" max="1" man="1"/>
    <brk id="142" max="1" man="1"/>
    <brk id="156" max="1" man="1"/>
    <brk id="179" max="1" man="1"/>
  </rowBreaks>
</worksheet>
</file>

<file path=xl/worksheets/sheet21.xml><?xml version="1.0" encoding="utf-8"?>
<worksheet xmlns="http://schemas.openxmlformats.org/spreadsheetml/2006/main" xmlns:r="http://schemas.openxmlformats.org/officeDocument/2006/relationships">
  <dimension ref="B2:H63"/>
  <sheetViews>
    <sheetView view="pageBreakPreview" zoomScale="75" zoomScaleSheetLayoutView="75" zoomScalePageLayoutView="0" workbookViewId="0" topLeftCell="A38">
      <selection activeCell="A69" sqref="A69"/>
    </sheetView>
  </sheetViews>
  <sheetFormatPr defaultColWidth="9.140625" defaultRowHeight="12.75"/>
  <cols>
    <col min="1" max="1" width="9.140625" style="196" customWidth="1"/>
    <col min="2" max="2" width="13.140625" style="196" customWidth="1"/>
    <col min="3" max="3" width="13.00390625" style="196" customWidth="1"/>
    <col min="4" max="4" width="12.7109375" style="196" customWidth="1"/>
    <col min="5" max="5" width="12.421875" style="196" customWidth="1"/>
    <col min="6" max="6" width="13.8515625" style="196" customWidth="1"/>
    <col min="7" max="7" width="13.28125" style="196" customWidth="1"/>
    <col min="8" max="8" width="13.8515625" style="196" customWidth="1"/>
    <col min="9" max="9" width="9.140625" style="196" customWidth="1"/>
    <col min="10" max="10" width="9.140625" style="186" customWidth="1"/>
  </cols>
  <sheetData>
    <row r="2" ht="12.75">
      <c r="B2" s="197" t="s">
        <v>292</v>
      </c>
    </row>
    <row r="3" ht="13.5" thickBot="1"/>
    <row r="4" spans="2:8" ht="12.75" customHeight="1">
      <c r="B4" s="425" t="s">
        <v>524</v>
      </c>
      <c r="C4" s="426"/>
      <c r="D4" s="426"/>
      <c r="E4" s="427"/>
      <c r="F4" s="428" t="s">
        <v>525</v>
      </c>
      <c r="G4" s="432" t="s">
        <v>529</v>
      </c>
      <c r="H4" s="430" t="s">
        <v>526</v>
      </c>
    </row>
    <row r="5" spans="2:8" ht="48.75" customHeight="1">
      <c r="B5" s="213"/>
      <c r="C5" s="214"/>
      <c r="D5" s="214"/>
      <c r="E5" s="215"/>
      <c r="F5" s="429"/>
      <c r="G5" s="433"/>
      <c r="H5" s="431"/>
    </row>
    <row r="6" spans="2:8" ht="15.75" customHeight="1" thickBot="1">
      <c r="B6" s="202" t="s">
        <v>358</v>
      </c>
      <c r="C6" s="201" t="s">
        <v>359</v>
      </c>
      <c r="D6" s="201" t="s">
        <v>360</v>
      </c>
      <c r="E6" s="207" t="s">
        <v>275</v>
      </c>
      <c r="F6" s="209">
        <v>1</v>
      </c>
      <c r="G6" s="434"/>
      <c r="H6" s="211">
        <v>0.8</v>
      </c>
    </row>
    <row r="7" spans="2:8" ht="12.75">
      <c r="B7" s="203" t="s">
        <v>227</v>
      </c>
      <c r="C7" s="204" t="s">
        <v>227</v>
      </c>
      <c r="D7" s="204" t="s">
        <v>472</v>
      </c>
      <c r="E7" s="208" t="s">
        <v>227</v>
      </c>
      <c r="F7" s="210">
        <v>0.02</v>
      </c>
      <c r="G7" s="231" t="b">
        <v>0</v>
      </c>
      <c r="H7" s="212">
        <v>0</v>
      </c>
    </row>
    <row r="8" spans="2:8" ht="12.75">
      <c r="B8" s="203" t="s">
        <v>227</v>
      </c>
      <c r="C8" s="204" t="s">
        <v>227</v>
      </c>
      <c r="D8" s="204" t="s">
        <v>472</v>
      </c>
      <c r="E8" s="208" t="s">
        <v>228</v>
      </c>
      <c r="F8" s="210">
        <v>0.05</v>
      </c>
      <c r="G8" s="231" t="b">
        <v>0</v>
      </c>
      <c r="H8" s="212">
        <v>0</v>
      </c>
    </row>
    <row r="9" spans="2:8" ht="12.75">
      <c r="B9" s="203" t="s">
        <v>227</v>
      </c>
      <c r="C9" s="204" t="s">
        <v>228</v>
      </c>
      <c r="D9" s="204" t="s">
        <v>472</v>
      </c>
      <c r="E9" s="208" t="s">
        <v>227</v>
      </c>
      <c r="F9" s="210">
        <v>0.5</v>
      </c>
      <c r="G9" s="231" t="b">
        <v>0</v>
      </c>
      <c r="H9" s="212">
        <v>0</v>
      </c>
    </row>
    <row r="10" spans="2:8" ht="12.75">
      <c r="B10" s="203" t="s">
        <v>227</v>
      </c>
      <c r="C10" s="204" t="s">
        <v>228</v>
      </c>
      <c r="D10" s="204" t="s">
        <v>472</v>
      </c>
      <c r="E10" s="208" t="s">
        <v>228</v>
      </c>
      <c r="F10" s="210">
        <v>0.66</v>
      </c>
      <c r="G10" s="231" t="b">
        <v>0</v>
      </c>
      <c r="H10" s="212">
        <v>0</v>
      </c>
    </row>
    <row r="11" spans="2:8" ht="12.75">
      <c r="B11" s="203" t="s">
        <v>227</v>
      </c>
      <c r="C11" s="204" t="s">
        <v>472</v>
      </c>
      <c r="D11" s="204" t="s">
        <v>227</v>
      </c>
      <c r="E11" s="208" t="s">
        <v>227</v>
      </c>
      <c r="F11" s="210">
        <v>0.01</v>
      </c>
      <c r="G11" s="231" t="b">
        <v>0</v>
      </c>
      <c r="H11" s="212">
        <v>0</v>
      </c>
    </row>
    <row r="12" spans="2:8" ht="12.75">
      <c r="B12" s="203" t="s">
        <v>227</v>
      </c>
      <c r="C12" s="204" t="s">
        <v>472</v>
      </c>
      <c r="D12" s="204" t="s">
        <v>227</v>
      </c>
      <c r="E12" s="208" t="s">
        <v>228</v>
      </c>
      <c r="F12" s="210">
        <v>0.02</v>
      </c>
      <c r="G12" s="231" t="b">
        <v>0</v>
      </c>
      <c r="H12" s="212">
        <v>0</v>
      </c>
    </row>
    <row r="13" spans="2:8" ht="12.75">
      <c r="B13" s="203" t="s">
        <v>228</v>
      </c>
      <c r="C13" s="204" t="s">
        <v>227</v>
      </c>
      <c r="D13" s="204" t="s">
        <v>472</v>
      </c>
      <c r="E13" s="208" t="s">
        <v>472</v>
      </c>
      <c r="F13" s="210">
        <v>0.8</v>
      </c>
      <c r="G13" s="231" t="b">
        <v>0</v>
      </c>
      <c r="H13" s="212">
        <v>0</v>
      </c>
    </row>
    <row r="14" spans="2:8" ht="12.75">
      <c r="B14" s="203" t="s">
        <v>228</v>
      </c>
      <c r="C14" s="204" t="s">
        <v>228</v>
      </c>
      <c r="D14" s="204" t="s">
        <v>472</v>
      </c>
      <c r="E14" s="208" t="s">
        <v>472</v>
      </c>
      <c r="F14" s="210">
        <v>1</v>
      </c>
      <c r="G14" s="231" t="b">
        <v>0</v>
      </c>
      <c r="H14" s="212">
        <v>0</v>
      </c>
    </row>
    <row r="15" spans="2:8" ht="13.5" thickBot="1">
      <c r="B15" s="217" t="s">
        <v>228</v>
      </c>
      <c r="C15" s="218" t="s">
        <v>472</v>
      </c>
      <c r="D15" s="218" t="s">
        <v>227</v>
      </c>
      <c r="E15" s="226" t="s">
        <v>472</v>
      </c>
      <c r="F15" s="219">
        <v>0.8</v>
      </c>
      <c r="G15" s="232" t="b">
        <v>1</v>
      </c>
      <c r="H15" s="225">
        <v>0.8</v>
      </c>
    </row>
    <row r="18" ht="12.75" hidden="1">
      <c r="B18" s="199" t="s">
        <v>291</v>
      </c>
    </row>
    <row r="19" ht="13.5" hidden="1" thickBot="1">
      <c r="B19" s="197"/>
    </row>
    <row r="20" spans="2:8" ht="12.75" customHeight="1" hidden="1">
      <c r="B20" s="425" t="s">
        <v>524</v>
      </c>
      <c r="C20" s="426"/>
      <c r="D20" s="426"/>
      <c r="E20" s="426"/>
      <c r="F20" s="428" t="s">
        <v>525</v>
      </c>
      <c r="G20" s="432" t="s">
        <v>529</v>
      </c>
      <c r="H20" s="430" t="s">
        <v>526</v>
      </c>
    </row>
    <row r="21" spans="2:8" ht="53.25" customHeight="1" hidden="1">
      <c r="B21" s="213"/>
      <c r="C21" s="214"/>
      <c r="D21" s="214"/>
      <c r="E21" s="214"/>
      <c r="F21" s="429"/>
      <c r="G21" s="433"/>
      <c r="H21" s="431"/>
    </row>
    <row r="22" spans="2:8" ht="13.5" hidden="1" thickBot="1">
      <c r="B22" s="202" t="s">
        <v>358</v>
      </c>
      <c r="C22" s="201" t="s">
        <v>359</v>
      </c>
      <c r="D22" s="201" t="s">
        <v>360</v>
      </c>
      <c r="E22" s="207" t="s">
        <v>275</v>
      </c>
      <c r="F22" s="223">
        <v>1</v>
      </c>
      <c r="G22" s="434"/>
      <c r="H22" s="222">
        <v>0.8</v>
      </c>
    </row>
    <row r="23" spans="2:8" ht="12.75" hidden="1">
      <c r="B23" s="203" t="s">
        <v>227</v>
      </c>
      <c r="C23" s="204" t="s">
        <v>227</v>
      </c>
      <c r="D23" s="204" t="s">
        <v>472</v>
      </c>
      <c r="E23" s="204" t="s">
        <v>227</v>
      </c>
      <c r="F23" s="224">
        <v>0.02</v>
      </c>
      <c r="G23" s="231" t="b">
        <v>0</v>
      </c>
      <c r="H23" s="212">
        <v>0</v>
      </c>
    </row>
    <row r="24" spans="2:8" ht="12.75" hidden="1">
      <c r="B24" s="203" t="s">
        <v>227</v>
      </c>
      <c r="C24" s="204" t="s">
        <v>227</v>
      </c>
      <c r="D24" s="204" t="s">
        <v>472</v>
      </c>
      <c r="E24" s="204" t="s">
        <v>228</v>
      </c>
      <c r="F24" s="224">
        <v>0.05</v>
      </c>
      <c r="G24" s="231" t="b">
        <v>0</v>
      </c>
      <c r="H24" s="212">
        <v>0</v>
      </c>
    </row>
    <row r="25" spans="2:8" ht="12.75" hidden="1">
      <c r="B25" s="203" t="s">
        <v>227</v>
      </c>
      <c r="C25" s="204" t="s">
        <v>228</v>
      </c>
      <c r="D25" s="204" t="s">
        <v>472</v>
      </c>
      <c r="E25" s="204" t="s">
        <v>227</v>
      </c>
      <c r="F25" s="224">
        <v>0.5</v>
      </c>
      <c r="G25" s="231" t="b">
        <v>0</v>
      </c>
      <c r="H25" s="212">
        <v>0</v>
      </c>
    </row>
    <row r="26" spans="2:8" ht="12.75" hidden="1">
      <c r="B26" s="203" t="s">
        <v>227</v>
      </c>
      <c r="C26" s="204" t="s">
        <v>228</v>
      </c>
      <c r="D26" s="204" t="s">
        <v>472</v>
      </c>
      <c r="E26" s="204" t="s">
        <v>228</v>
      </c>
      <c r="F26" s="224">
        <v>0.66</v>
      </c>
      <c r="G26" s="231" t="b">
        <v>0</v>
      </c>
      <c r="H26" s="212">
        <v>0</v>
      </c>
    </row>
    <row r="27" spans="2:8" ht="12.75" hidden="1">
      <c r="B27" s="203" t="s">
        <v>227</v>
      </c>
      <c r="C27" s="204" t="s">
        <v>472</v>
      </c>
      <c r="D27" s="204" t="s">
        <v>227</v>
      </c>
      <c r="E27" s="204" t="s">
        <v>227</v>
      </c>
      <c r="F27" s="224">
        <v>0.01</v>
      </c>
      <c r="G27" s="231" t="b">
        <v>0</v>
      </c>
      <c r="H27" s="212">
        <v>0</v>
      </c>
    </row>
    <row r="28" spans="2:8" ht="12.75" hidden="1">
      <c r="B28" s="203" t="s">
        <v>227</v>
      </c>
      <c r="C28" s="204" t="s">
        <v>472</v>
      </c>
      <c r="D28" s="204" t="s">
        <v>227</v>
      </c>
      <c r="E28" s="204" t="s">
        <v>228</v>
      </c>
      <c r="F28" s="224">
        <v>0.02</v>
      </c>
      <c r="G28" s="231" t="b">
        <v>0</v>
      </c>
      <c r="H28" s="212">
        <v>0</v>
      </c>
    </row>
    <row r="29" spans="2:8" ht="12.75" hidden="1">
      <c r="B29" s="203" t="s">
        <v>228</v>
      </c>
      <c r="C29" s="204" t="s">
        <v>227</v>
      </c>
      <c r="D29" s="204" t="s">
        <v>472</v>
      </c>
      <c r="E29" s="204" t="s">
        <v>472</v>
      </c>
      <c r="F29" s="224">
        <v>0.8</v>
      </c>
      <c r="G29" s="231" t="b">
        <v>0</v>
      </c>
      <c r="H29" s="212">
        <v>0</v>
      </c>
    </row>
    <row r="30" spans="2:8" ht="12.75" hidden="1">
      <c r="B30" s="203" t="s">
        <v>228</v>
      </c>
      <c r="C30" s="204" t="s">
        <v>228</v>
      </c>
      <c r="D30" s="204" t="s">
        <v>472</v>
      </c>
      <c r="E30" s="204" t="s">
        <v>472</v>
      </c>
      <c r="F30" s="224">
        <v>1</v>
      </c>
      <c r="G30" s="231" t="b">
        <v>0</v>
      </c>
      <c r="H30" s="212">
        <v>0</v>
      </c>
    </row>
    <row r="31" spans="2:8" ht="13.5" hidden="1" thickBot="1">
      <c r="B31" s="217" t="s">
        <v>228</v>
      </c>
      <c r="C31" s="218" t="s">
        <v>472</v>
      </c>
      <c r="D31" s="218" t="s">
        <v>227</v>
      </c>
      <c r="E31" s="218" t="s">
        <v>472</v>
      </c>
      <c r="F31" s="209">
        <v>0.8</v>
      </c>
      <c r="G31" s="232" t="b">
        <v>1</v>
      </c>
      <c r="H31" s="225">
        <v>0.8</v>
      </c>
    </row>
    <row r="32" ht="12.75" hidden="1"/>
    <row r="33" ht="12.75" hidden="1"/>
    <row r="34" ht="12.75">
      <c r="B34" s="198" t="s">
        <v>291</v>
      </c>
    </row>
    <row r="35" ht="13.5" thickBot="1"/>
    <row r="36" spans="2:8" ht="12.75" customHeight="1">
      <c r="B36" s="425" t="s">
        <v>527</v>
      </c>
      <c r="C36" s="426"/>
      <c r="D36" s="426"/>
      <c r="E36" s="426"/>
      <c r="F36" s="428" t="s">
        <v>525</v>
      </c>
      <c r="G36" s="432" t="s">
        <v>529</v>
      </c>
      <c r="H36" s="430" t="s">
        <v>526</v>
      </c>
    </row>
    <row r="37" spans="2:8" ht="52.5" customHeight="1">
      <c r="B37" s="213"/>
      <c r="C37" s="214"/>
      <c r="D37" s="214"/>
      <c r="E37" s="214"/>
      <c r="F37" s="429"/>
      <c r="G37" s="433"/>
      <c r="H37" s="431"/>
    </row>
    <row r="38" spans="2:8" ht="13.5" thickBot="1">
      <c r="B38" s="220" t="s">
        <v>87</v>
      </c>
      <c r="C38" s="221" t="s">
        <v>88</v>
      </c>
      <c r="D38" s="228"/>
      <c r="E38" s="228"/>
      <c r="F38" s="209">
        <v>1</v>
      </c>
      <c r="G38" s="434"/>
      <c r="H38" s="211">
        <v>0.2</v>
      </c>
    </row>
    <row r="39" spans="2:8" ht="12.75">
      <c r="B39" s="227" t="s">
        <v>227</v>
      </c>
      <c r="C39" s="200" t="s">
        <v>227</v>
      </c>
      <c r="D39" s="229"/>
      <c r="E39" s="229"/>
      <c r="F39" s="224">
        <v>0.1</v>
      </c>
      <c r="G39" s="231" t="b">
        <v>0</v>
      </c>
      <c r="H39" s="212">
        <v>0</v>
      </c>
    </row>
    <row r="40" spans="2:8" ht="12.75">
      <c r="B40" s="227" t="s">
        <v>227</v>
      </c>
      <c r="C40" s="200" t="s">
        <v>228</v>
      </c>
      <c r="D40" s="229"/>
      <c r="E40" s="229"/>
      <c r="F40" s="224">
        <v>0.2</v>
      </c>
      <c r="G40" s="233" t="b">
        <v>1</v>
      </c>
      <c r="H40" s="216">
        <v>0.2</v>
      </c>
    </row>
    <row r="41" spans="2:8" ht="12.75">
      <c r="B41" s="227" t="s">
        <v>228</v>
      </c>
      <c r="C41" s="200" t="s">
        <v>227</v>
      </c>
      <c r="D41" s="229"/>
      <c r="E41" s="229"/>
      <c r="F41" s="224">
        <v>0.1</v>
      </c>
      <c r="G41" s="231" t="b">
        <v>0</v>
      </c>
      <c r="H41" s="212">
        <v>0</v>
      </c>
    </row>
    <row r="42" spans="2:8" ht="13.5" thickBot="1">
      <c r="B42" s="205" t="s">
        <v>228</v>
      </c>
      <c r="C42" s="206" t="s">
        <v>228</v>
      </c>
      <c r="D42" s="230"/>
      <c r="E42" s="230"/>
      <c r="F42" s="209">
        <v>1</v>
      </c>
      <c r="G42" s="234" t="b">
        <v>0</v>
      </c>
      <c r="H42" s="211">
        <v>0</v>
      </c>
    </row>
    <row r="45" ht="12.75">
      <c r="B45" s="198" t="s">
        <v>290</v>
      </c>
    </row>
    <row r="46" ht="13.5" thickBot="1"/>
    <row r="47" spans="2:8" ht="12.75" customHeight="1">
      <c r="B47" s="425" t="s">
        <v>528</v>
      </c>
      <c r="C47" s="426"/>
      <c r="D47" s="426"/>
      <c r="E47" s="426"/>
      <c r="F47" s="428" t="s">
        <v>525</v>
      </c>
      <c r="G47" s="432" t="s">
        <v>529</v>
      </c>
      <c r="H47" s="430" t="s">
        <v>526</v>
      </c>
    </row>
    <row r="48" spans="2:8" ht="49.5" customHeight="1">
      <c r="B48" s="213"/>
      <c r="C48" s="214"/>
      <c r="D48" s="214"/>
      <c r="E48" s="214"/>
      <c r="F48" s="429"/>
      <c r="G48" s="433"/>
      <c r="H48" s="431"/>
    </row>
    <row r="49" spans="2:8" ht="17.25" customHeight="1" thickBot="1">
      <c r="B49" s="220" t="s">
        <v>505</v>
      </c>
      <c r="C49" s="221" t="s">
        <v>506</v>
      </c>
      <c r="D49" s="221" t="s">
        <v>507</v>
      </c>
      <c r="E49" s="228"/>
      <c r="F49" s="223">
        <v>1</v>
      </c>
      <c r="G49" s="434"/>
      <c r="H49" s="222">
        <v>0.01</v>
      </c>
    </row>
    <row r="50" spans="2:8" ht="12.75">
      <c r="B50" s="227" t="s">
        <v>227</v>
      </c>
      <c r="C50" s="200" t="s">
        <v>227</v>
      </c>
      <c r="D50" s="200" t="s">
        <v>472</v>
      </c>
      <c r="E50" s="229"/>
      <c r="F50" s="224">
        <v>0.01</v>
      </c>
      <c r="G50" s="233" t="b">
        <v>1</v>
      </c>
      <c r="H50" s="216">
        <v>0.01</v>
      </c>
    </row>
    <row r="51" spans="2:8" ht="12.75">
      <c r="B51" s="227" t="s">
        <v>227</v>
      </c>
      <c r="C51" s="200" t="s">
        <v>228</v>
      </c>
      <c r="D51" s="200" t="s">
        <v>472</v>
      </c>
      <c r="E51" s="229"/>
      <c r="F51" s="224">
        <v>0.05</v>
      </c>
      <c r="G51" s="231" t="b">
        <v>0</v>
      </c>
      <c r="H51" s="212">
        <v>0</v>
      </c>
    </row>
    <row r="52" spans="2:8" ht="13.5" thickBot="1">
      <c r="B52" s="205" t="s">
        <v>472</v>
      </c>
      <c r="C52" s="206" t="s">
        <v>472</v>
      </c>
      <c r="D52" s="206" t="s">
        <v>227</v>
      </c>
      <c r="E52" s="230"/>
      <c r="F52" s="209">
        <v>0.05</v>
      </c>
      <c r="G52" s="234" t="b">
        <v>0</v>
      </c>
      <c r="H52" s="211">
        <v>0</v>
      </c>
    </row>
    <row r="55" ht="12.75">
      <c r="B55" s="198" t="s">
        <v>289</v>
      </c>
    </row>
    <row r="56" ht="13.5" thickBot="1"/>
    <row r="57" spans="2:8" ht="12.75" customHeight="1">
      <c r="B57" s="425" t="s">
        <v>528</v>
      </c>
      <c r="C57" s="426"/>
      <c r="D57" s="426"/>
      <c r="E57" s="426"/>
      <c r="F57" s="428" t="s">
        <v>525</v>
      </c>
      <c r="G57" s="432" t="s">
        <v>529</v>
      </c>
      <c r="H57" s="430" t="s">
        <v>526</v>
      </c>
    </row>
    <row r="58" spans="2:8" ht="43.5" customHeight="1">
      <c r="B58" s="213"/>
      <c r="C58" s="214"/>
      <c r="D58" s="214"/>
      <c r="E58" s="214"/>
      <c r="F58" s="429"/>
      <c r="G58" s="433"/>
      <c r="H58" s="431"/>
    </row>
    <row r="59" spans="2:8" ht="22.5" customHeight="1" thickBot="1">
      <c r="B59" s="220" t="s">
        <v>518</v>
      </c>
      <c r="C59" s="221" t="s">
        <v>519</v>
      </c>
      <c r="D59" s="221" t="s">
        <v>520</v>
      </c>
      <c r="E59" s="228"/>
      <c r="F59" s="223">
        <v>1</v>
      </c>
      <c r="G59" s="434"/>
      <c r="H59" s="222">
        <v>0.02</v>
      </c>
    </row>
    <row r="60" spans="2:8" ht="12.75">
      <c r="B60" s="227" t="s">
        <v>227</v>
      </c>
      <c r="C60" s="200" t="s">
        <v>472</v>
      </c>
      <c r="D60" s="200" t="s">
        <v>227</v>
      </c>
      <c r="E60" s="229"/>
      <c r="F60" s="224">
        <v>0.02</v>
      </c>
      <c r="G60" s="233" t="b">
        <v>1</v>
      </c>
      <c r="H60" s="216">
        <v>0.02</v>
      </c>
    </row>
    <row r="61" spans="2:8" ht="12.75">
      <c r="B61" s="227" t="s">
        <v>227</v>
      </c>
      <c r="C61" s="200" t="s">
        <v>472</v>
      </c>
      <c r="D61" s="200" t="s">
        <v>228</v>
      </c>
      <c r="E61" s="229"/>
      <c r="F61" s="224">
        <v>0.25</v>
      </c>
      <c r="G61" s="231" t="b">
        <v>0</v>
      </c>
      <c r="H61" s="212">
        <v>0</v>
      </c>
    </row>
    <row r="62" spans="2:8" ht="12.75">
      <c r="B62" s="227" t="s">
        <v>472</v>
      </c>
      <c r="C62" s="200" t="s">
        <v>227</v>
      </c>
      <c r="D62" s="200" t="s">
        <v>227</v>
      </c>
      <c r="E62" s="229"/>
      <c r="F62" s="224">
        <v>0.2</v>
      </c>
      <c r="G62" s="231" t="b">
        <v>0</v>
      </c>
      <c r="H62" s="212">
        <v>0</v>
      </c>
    </row>
    <row r="63" spans="2:8" ht="13.5" thickBot="1">
      <c r="B63" s="205" t="s">
        <v>472</v>
      </c>
      <c r="C63" s="206" t="s">
        <v>227</v>
      </c>
      <c r="D63" s="206" t="s">
        <v>228</v>
      </c>
      <c r="E63" s="230"/>
      <c r="F63" s="209">
        <v>0.66</v>
      </c>
      <c r="G63" s="234" t="b">
        <v>0</v>
      </c>
      <c r="H63" s="211">
        <v>0</v>
      </c>
    </row>
  </sheetData>
  <sheetProtection/>
  <mergeCells count="20">
    <mergeCell ref="H20:H21"/>
    <mergeCell ref="G20:G22"/>
    <mergeCell ref="B57:E57"/>
    <mergeCell ref="F57:F58"/>
    <mergeCell ref="H57:H58"/>
    <mergeCell ref="G57:G59"/>
    <mergeCell ref="B47:E47"/>
    <mergeCell ref="F47:F48"/>
    <mergeCell ref="H47:H48"/>
    <mergeCell ref="G47:G49"/>
    <mergeCell ref="B4:E4"/>
    <mergeCell ref="F4:F5"/>
    <mergeCell ref="H4:H5"/>
    <mergeCell ref="G4:G6"/>
    <mergeCell ref="B36:E36"/>
    <mergeCell ref="F36:F37"/>
    <mergeCell ref="H36:H37"/>
    <mergeCell ref="G36:G38"/>
    <mergeCell ref="B20:E20"/>
    <mergeCell ref="F20:F21"/>
  </mergeCells>
  <printOptions/>
  <pageMargins left="0.75" right="0.75" top="1" bottom="1" header="0.5" footer="0.5"/>
  <pageSetup horizontalDpi="600" verticalDpi="600" orientation="portrait" paperSize="9" scale="78" r:id="rId1"/>
  <headerFooter alignWithMargins="0">
    <oddHeader>&amp;RBijlage 3-6: Scoretabellen</oddHeader>
    <oddFooter>&amp;CMethodiek BPBP</oddFooter>
  </headerFooter>
</worksheet>
</file>

<file path=xl/worksheets/sheet22.xml><?xml version="1.0" encoding="utf-8"?>
<worksheet xmlns="http://schemas.openxmlformats.org/spreadsheetml/2006/main" xmlns:r="http://schemas.openxmlformats.org/officeDocument/2006/relationships">
  <dimension ref="A2:C32"/>
  <sheetViews>
    <sheetView view="pageBreakPreview" zoomScaleSheetLayoutView="100" zoomScalePageLayoutView="0" workbookViewId="0" topLeftCell="A1">
      <selection activeCell="C6" sqref="C6"/>
    </sheetView>
  </sheetViews>
  <sheetFormatPr defaultColWidth="9.140625" defaultRowHeight="12.75"/>
  <cols>
    <col min="1" max="1" width="8.28125" style="0" customWidth="1"/>
    <col min="2" max="2" width="61.421875" style="0" customWidth="1"/>
    <col min="3" max="3" width="10.8515625" style="186" customWidth="1"/>
  </cols>
  <sheetData>
    <row r="2" spans="1:3" ht="12.75">
      <c r="A2" s="175"/>
      <c r="B2" s="175" t="s">
        <v>83</v>
      </c>
      <c r="C2" s="194" t="s">
        <v>400</v>
      </c>
    </row>
    <row r="3" ht="3.75" customHeight="1"/>
    <row r="4" spans="1:3" ht="12.75">
      <c r="A4" s="193" t="s">
        <v>346</v>
      </c>
      <c r="B4" s="193" t="s">
        <v>212</v>
      </c>
      <c r="C4" s="191"/>
    </row>
    <row r="5" ht="5.25" customHeight="1"/>
    <row r="6" spans="1:3" ht="28.5" customHeight="1">
      <c r="A6" s="235" t="s">
        <v>82</v>
      </c>
      <c r="B6" s="5" t="s">
        <v>378</v>
      </c>
      <c r="C6" s="55">
        <v>10</v>
      </c>
    </row>
    <row r="7" spans="1:3" ht="3.75" customHeight="1">
      <c r="A7" s="3"/>
      <c r="B7" s="5"/>
      <c r="C7" s="55"/>
    </row>
    <row r="8" spans="1:3" ht="12.75">
      <c r="A8" s="193" t="s">
        <v>347</v>
      </c>
      <c r="B8" s="193" t="s">
        <v>234</v>
      </c>
      <c r="C8" s="191"/>
    </row>
    <row r="9" spans="1:3" ht="5.25" customHeight="1">
      <c r="A9" s="3"/>
      <c r="B9" s="5"/>
      <c r="C9" s="55"/>
    </row>
    <row r="10" spans="1:3" ht="67.5" customHeight="1">
      <c r="A10" s="235" t="s">
        <v>82</v>
      </c>
      <c r="B10" s="5" t="s">
        <v>238</v>
      </c>
      <c r="C10" s="160">
        <v>100</v>
      </c>
    </row>
    <row r="11" spans="1:3" ht="42" customHeight="1">
      <c r="A11" s="235" t="s">
        <v>82</v>
      </c>
      <c r="B11" s="5" t="s">
        <v>80</v>
      </c>
      <c r="C11" s="160">
        <v>250</v>
      </c>
    </row>
    <row r="12" spans="1:3" ht="66.75" customHeight="1">
      <c r="A12" s="235" t="s">
        <v>82</v>
      </c>
      <c r="B12" s="5" t="str">
        <f>Groeperen!B29</f>
        <v>De exploitant registreert alle storingen, calamiteiten en de resultaten van de voorgeschreven metingen en controles van de machines, zoals bepaald in dit artikel, in een logboek. Dat logboek wordt voor een periode van minstens 5 jaar na de laatste registratie bewaard en ter inzage van de toezichthoudende overheid gehouden. (Vlarem II, art. 5.41.2.3§3)</v>
      </c>
      <c r="C12" s="160">
        <v>250</v>
      </c>
    </row>
    <row r="13" spans="1:3" ht="67.5" customHeight="1">
      <c r="A13" s="235" t="s">
        <v>82</v>
      </c>
      <c r="B13" s="5" t="s">
        <v>239</v>
      </c>
      <c r="C13" s="160">
        <v>250</v>
      </c>
    </row>
    <row r="14" spans="1:3" ht="27.75" customHeight="1">
      <c r="A14" s="235" t="s">
        <v>82</v>
      </c>
      <c r="B14" s="5" t="s">
        <v>38</v>
      </c>
      <c r="C14" s="160">
        <v>250</v>
      </c>
    </row>
    <row r="15" spans="1:3" ht="2.25" customHeight="1">
      <c r="A15" s="3"/>
      <c r="B15" s="5"/>
      <c r="C15" s="160"/>
    </row>
    <row r="16" spans="1:3" ht="12.75">
      <c r="A16" s="193" t="s">
        <v>348</v>
      </c>
      <c r="B16" s="193" t="s">
        <v>461</v>
      </c>
      <c r="C16" s="191"/>
    </row>
    <row r="17" spans="1:3" ht="4.5" customHeight="1">
      <c r="A17" s="49"/>
      <c r="B17" s="5"/>
      <c r="C17" s="160"/>
    </row>
    <row r="18" spans="1:3" ht="117" customHeight="1">
      <c r="A18" s="235" t="s">
        <v>82</v>
      </c>
      <c r="B18" s="4" t="s">
        <v>179</v>
      </c>
      <c r="C18" s="55">
        <v>50</v>
      </c>
    </row>
    <row r="19" ht="7.5" customHeight="1"/>
    <row r="20" spans="1:3" ht="12.75">
      <c r="A20" s="193" t="s">
        <v>349</v>
      </c>
      <c r="B20" s="193" t="s">
        <v>462</v>
      </c>
      <c r="C20" s="191"/>
    </row>
    <row r="21" ht="4.5" customHeight="1"/>
    <row r="22" spans="1:3" ht="154.5" customHeight="1">
      <c r="A22" s="235" t="s">
        <v>82</v>
      </c>
      <c r="B22" s="4" t="s">
        <v>180</v>
      </c>
      <c r="C22" s="160">
        <v>50</v>
      </c>
    </row>
    <row r="23" ht="3.75" customHeight="1"/>
    <row r="24" spans="1:3" ht="12.75">
      <c r="A24" s="193" t="s">
        <v>350</v>
      </c>
      <c r="B24" s="193" t="s">
        <v>60</v>
      </c>
      <c r="C24" s="191"/>
    </row>
    <row r="25" ht="3.75" customHeight="1"/>
    <row r="26" spans="1:3" ht="105">
      <c r="A26" s="235" t="s">
        <v>82</v>
      </c>
      <c r="B26" s="4" t="s">
        <v>182</v>
      </c>
      <c r="C26" s="55">
        <v>500</v>
      </c>
    </row>
    <row r="27" spans="1:3" ht="15" customHeight="1">
      <c r="A27" s="435" t="s">
        <v>183</v>
      </c>
      <c r="B27" s="436"/>
      <c r="C27" s="160"/>
    </row>
    <row r="28" spans="1:3" ht="78.75">
      <c r="A28" s="97" t="s">
        <v>82</v>
      </c>
      <c r="B28" s="4" t="s">
        <v>181</v>
      </c>
      <c r="C28" s="55"/>
    </row>
    <row r="29" ht="3" customHeight="1"/>
    <row r="30" spans="1:3" ht="12.75">
      <c r="A30" s="193" t="s">
        <v>351</v>
      </c>
      <c r="B30" s="193" t="s">
        <v>84</v>
      </c>
      <c r="C30" s="191"/>
    </row>
    <row r="31" ht="4.5" customHeight="1"/>
    <row r="32" spans="1:3" ht="132" customHeight="1">
      <c r="A32" s="235" t="s">
        <v>82</v>
      </c>
      <c r="B32" s="5" t="s">
        <v>81</v>
      </c>
      <c r="C32" s="55">
        <v>100</v>
      </c>
    </row>
  </sheetData>
  <sheetProtection/>
  <mergeCells count="1">
    <mergeCell ref="A27:B27"/>
  </mergeCells>
  <printOptions/>
  <pageMargins left="0.75" right="0.75" top="1" bottom="1" header="0.5" footer="0.5"/>
  <pageSetup horizontalDpi="600" verticalDpi="600" orientation="portrait" paperSize="9" scale="99" r:id="rId1"/>
  <headerFooter alignWithMargins="0">
    <oddHeader>&amp;RBijlage 5-3: Weging risico's voor droogkuissector</oddHeader>
    <oddFooter>&amp;CCGP BPBP Droogkuis</oddFooter>
  </headerFooter>
  <rowBreaks count="1" manualBreakCount="1">
    <brk id="19" max="255" man="1"/>
  </rowBreaks>
</worksheet>
</file>

<file path=xl/worksheets/sheet23.xml><?xml version="1.0" encoding="utf-8"?>
<worksheet xmlns="http://schemas.openxmlformats.org/spreadsheetml/2006/main" xmlns:r="http://schemas.openxmlformats.org/officeDocument/2006/relationships">
  <dimension ref="A1:R210"/>
  <sheetViews>
    <sheetView view="pageBreakPreview" zoomScale="85" zoomScaleSheetLayoutView="85" zoomScalePageLayoutView="0" workbookViewId="0" topLeftCell="A19">
      <selection activeCell="I60" sqref="I60"/>
    </sheetView>
  </sheetViews>
  <sheetFormatPr defaultColWidth="5.28125" defaultRowHeight="12.75"/>
  <cols>
    <col min="1" max="1" width="10.28125" style="3" customWidth="1"/>
    <col min="2" max="2" width="3.57421875" style="3" customWidth="1"/>
    <col min="3" max="3" width="64.140625" style="5" customWidth="1"/>
    <col min="4" max="4" width="17.00390625" style="55" customWidth="1"/>
    <col min="5" max="6" width="9.28125" style="3" customWidth="1"/>
    <col min="7" max="7" width="12.140625" style="55" customWidth="1"/>
    <col min="8" max="8" width="13.140625" style="55" customWidth="1"/>
    <col min="9" max="9" width="6.00390625" style="3" customWidth="1"/>
    <col min="10" max="10" width="9.28125" style="3" customWidth="1"/>
    <col min="11" max="12" width="6.421875" style="55" customWidth="1"/>
    <col min="13" max="13" width="6.00390625" style="55" customWidth="1"/>
    <col min="14" max="14" width="5.421875" style="55" customWidth="1"/>
    <col min="15" max="15" width="6.140625" style="55" customWidth="1"/>
    <col min="16" max="16" width="11.8515625" style="3" customWidth="1"/>
    <col min="17" max="17" width="11.00390625" style="3" customWidth="1"/>
    <col min="18" max="16384" width="5.28125" style="3" customWidth="1"/>
  </cols>
  <sheetData>
    <row r="1" spans="1:8" s="100" customFormat="1" ht="24">
      <c r="A1" s="1" t="s">
        <v>149</v>
      </c>
      <c r="B1" s="98"/>
      <c r="C1" s="99"/>
      <c r="D1" s="98"/>
      <c r="G1" s="98"/>
      <c r="H1" s="98"/>
    </row>
    <row r="2" ht="12.75">
      <c r="C2" s="3"/>
    </row>
    <row r="3" spans="1:3" ht="12.75">
      <c r="A3" s="3" t="s">
        <v>150</v>
      </c>
      <c r="C3" s="3"/>
    </row>
    <row r="5" spans="1:7" ht="12.75">
      <c r="A5" s="437" t="s">
        <v>408</v>
      </c>
      <c r="B5" s="437"/>
      <c r="C5" s="437"/>
      <c r="D5" s="437"/>
      <c r="E5" s="437"/>
      <c r="F5" s="437"/>
      <c r="G5" s="437"/>
    </row>
    <row r="7" spans="1:8" ht="21">
      <c r="A7" s="166" t="s">
        <v>346</v>
      </c>
      <c r="B7" s="161"/>
      <c r="C7" s="166" t="s">
        <v>212</v>
      </c>
      <c r="D7" s="163"/>
      <c r="E7" s="161"/>
      <c r="F7" s="161"/>
      <c r="G7" s="301" t="s">
        <v>353</v>
      </c>
      <c r="H7" s="302"/>
    </row>
    <row r="8" spans="7:8" ht="12.75">
      <c r="G8" s="160"/>
      <c r="H8" s="160"/>
    </row>
    <row r="9" spans="1:10" ht="12.75">
      <c r="A9" s="422" t="s">
        <v>533</v>
      </c>
      <c r="B9" s="422"/>
      <c r="C9" s="422"/>
      <c r="D9" s="170" t="s">
        <v>184</v>
      </c>
      <c r="G9" s="160"/>
      <c r="H9" s="154"/>
      <c r="I9" s="44"/>
      <c r="J9" s="44"/>
    </row>
    <row r="10" spans="3:11" ht="26.25">
      <c r="C10" s="59" t="s">
        <v>378</v>
      </c>
      <c r="D10" s="55">
        <v>10</v>
      </c>
      <c r="G10" s="160"/>
      <c r="H10" s="154"/>
      <c r="K10" s="56"/>
    </row>
    <row r="11" spans="4:8" ht="12.75">
      <c r="D11" s="170"/>
      <c r="G11" s="160"/>
      <c r="H11" s="154"/>
    </row>
    <row r="12" spans="1:8" ht="12.75">
      <c r="A12" s="165" t="s">
        <v>352</v>
      </c>
      <c r="D12" s="170" t="s">
        <v>185</v>
      </c>
      <c r="E12" s="48" t="s">
        <v>225</v>
      </c>
      <c r="G12" s="237" t="s">
        <v>226</v>
      </c>
      <c r="H12" s="164" t="s">
        <v>186</v>
      </c>
    </row>
    <row r="13" spans="1:11" ht="26.25">
      <c r="A13" s="239" t="s">
        <v>356</v>
      </c>
      <c r="B13" s="240"/>
      <c r="C13" s="241" t="s">
        <v>229</v>
      </c>
      <c r="D13" s="268">
        <v>0.5</v>
      </c>
      <c r="E13" s="246" t="s">
        <v>227</v>
      </c>
      <c r="F13" s="240" t="s">
        <v>228</v>
      </c>
      <c r="G13" s="269" t="s">
        <v>228</v>
      </c>
      <c r="H13" s="155">
        <f>IF(G13=E13,D13,1)</f>
        <v>1</v>
      </c>
      <c r="I13" s="47"/>
      <c r="J13" s="47"/>
      <c r="K13" s="190" t="s">
        <v>292</v>
      </c>
    </row>
    <row r="14" spans="1:11" ht="26.25">
      <c r="A14" s="239" t="s">
        <v>357</v>
      </c>
      <c r="B14" s="240"/>
      <c r="C14" s="241" t="s">
        <v>224</v>
      </c>
      <c r="D14" s="268">
        <v>0.33</v>
      </c>
      <c r="E14" s="246" t="s">
        <v>227</v>
      </c>
      <c r="F14" s="240" t="s">
        <v>228</v>
      </c>
      <c r="G14" s="269" t="s">
        <v>227</v>
      </c>
      <c r="H14" s="155">
        <f>IF(G14=E14,D14,1)</f>
        <v>0.33</v>
      </c>
      <c r="I14" s="47"/>
      <c r="J14" s="47"/>
      <c r="K14" s="195"/>
    </row>
    <row r="15" spans="1:17" ht="12.75">
      <c r="A15" s="239"/>
      <c r="B15" s="240"/>
      <c r="C15" s="242" t="s">
        <v>112</v>
      </c>
      <c r="D15" s="268"/>
      <c r="E15" s="246"/>
      <c r="F15" s="240"/>
      <c r="G15" s="277"/>
      <c r="H15" s="156">
        <f>IF(OR(P16:P24),Q15,O15)</f>
        <v>0.8</v>
      </c>
      <c r="I15" s="47"/>
      <c r="J15" s="47"/>
      <c r="K15" s="65" t="str">
        <f>A16</f>
        <v>PM 3</v>
      </c>
      <c r="L15" s="66" t="str">
        <f>A17</f>
        <v>PM 4</v>
      </c>
      <c r="M15" s="66" t="str">
        <f>A18</f>
        <v>PM 5</v>
      </c>
      <c r="N15" s="66" t="str">
        <f>A19</f>
        <v>PM 6</v>
      </c>
      <c r="O15" s="80">
        <v>1</v>
      </c>
      <c r="P15" s="67"/>
      <c r="Q15" s="68">
        <f>SUM(Q16:Q24)</f>
        <v>0.8</v>
      </c>
    </row>
    <row r="16" spans="1:17" ht="12.75">
      <c r="A16" s="239" t="s">
        <v>358</v>
      </c>
      <c r="B16" s="240" t="s">
        <v>267</v>
      </c>
      <c r="C16" s="241" t="s">
        <v>217</v>
      </c>
      <c r="D16" s="271" t="s">
        <v>362</v>
      </c>
      <c r="E16" s="246" t="s">
        <v>227</v>
      </c>
      <c r="F16" s="240" t="s">
        <v>228</v>
      </c>
      <c r="G16" s="269" t="s">
        <v>228</v>
      </c>
      <c r="H16" s="154"/>
      <c r="K16" s="69" t="s">
        <v>227</v>
      </c>
      <c r="L16" s="70" t="s">
        <v>227</v>
      </c>
      <c r="M16" s="70" t="s">
        <v>472</v>
      </c>
      <c r="N16" s="70" t="s">
        <v>227</v>
      </c>
      <c r="O16" s="71">
        <v>0.02</v>
      </c>
      <c r="P16" s="72" t="b">
        <f>AND(G16=K16,G17=L16,G19=N16)</f>
        <v>0</v>
      </c>
      <c r="Q16" s="73">
        <f>P16*O16</f>
        <v>0</v>
      </c>
    </row>
    <row r="17" spans="1:17" ht="12.75">
      <c r="A17" s="239" t="s">
        <v>359</v>
      </c>
      <c r="B17" s="240" t="s">
        <v>268</v>
      </c>
      <c r="C17" s="241" t="s">
        <v>500</v>
      </c>
      <c r="D17" s="271" t="s">
        <v>361</v>
      </c>
      <c r="E17" s="246" t="s">
        <v>227</v>
      </c>
      <c r="F17" s="240" t="s">
        <v>228</v>
      </c>
      <c r="G17" s="269" t="s">
        <v>472</v>
      </c>
      <c r="H17" s="155"/>
      <c r="I17" s="47"/>
      <c r="J17" s="47"/>
      <c r="K17" s="69" t="s">
        <v>227</v>
      </c>
      <c r="L17" s="70" t="s">
        <v>227</v>
      </c>
      <c r="M17" s="70" t="s">
        <v>472</v>
      </c>
      <c r="N17" s="70" t="s">
        <v>228</v>
      </c>
      <c r="O17" s="71">
        <v>0.05</v>
      </c>
      <c r="P17" s="72" t="b">
        <f>AND(G16=K17,G17=L17,G19=N17)</f>
        <v>0</v>
      </c>
      <c r="Q17" s="73">
        <f aca="true" t="shared" si="0" ref="Q17:Q24">P17*O17</f>
        <v>0</v>
      </c>
    </row>
    <row r="18" spans="1:17" ht="12.75">
      <c r="A18" s="239" t="s">
        <v>360</v>
      </c>
      <c r="B18" s="240" t="s">
        <v>403</v>
      </c>
      <c r="C18" s="241" t="s">
        <v>493</v>
      </c>
      <c r="D18" s="268"/>
      <c r="E18" s="246" t="s">
        <v>227</v>
      </c>
      <c r="F18" s="240" t="s">
        <v>228</v>
      </c>
      <c r="G18" s="269" t="s">
        <v>227</v>
      </c>
      <c r="H18" s="155"/>
      <c r="I18" s="47"/>
      <c r="J18" s="47"/>
      <c r="K18" s="69" t="s">
        <v>227</v>
      </c>
      <c r="L18" s="70" t="s">
        <v>228</v>
      </c>
      <c r="M18" s="70" t="s">
        <v>472</v>
      </c>
      <c r="N18" s="70" t="s">
        <v>227</v>
      </c>
      <c r="O18" s="71">
        <v>0.5</v>
      </c>
      <c r="P18" s="72" t="b">
        <f>AND(G16=K18,G17=L18,G19=N18)</f>
        <v>0</v>
      </c>
      <c r="Q18" s="73">
        <f t="shared" si="0"/>
        <v>0</v>
      </c>
    </row>
    <row r="19" spans="1:17" ht="12.75">
      <c r="A19" s="239" t="s">
        <v>275</v>
      </c>
      <c r="B19" s="240" t="s">
        <v>404</v>
      </c>
      <c r="C19" s="241" t="s">
        <v>220</v>
      </c>
      <c r="D19" s="268"/>
      <c r="E19" s="246" t="s">
        <v>227</v>
      </c>
      <c r="F19" s="240" t="s">
        <v>228</v>
      </c>
      <c r="G19" s="269" t="s">
        <v>228</v>
      </c>
      <c r="H19" s="155"/>
      <c r="I19" s="47"/>
      <c r="J19" s="47"/>
      <c r="K19" s="69" t="s">
        <v>227</v>
      </c>
      <c r="L19" s="70" t="s">
        <v>228</v>
      </c>
      <c r="M19" s="70" t="s">
        <v>472</v>
      </c>
      <c r="N19" s="70" t="s">
        <v>228</v>
      </c>
      <c r="O19" s="71">
        <v>0.66</v>
      </c>
      <c r="P19" s="72" t="b">
        <f>AND(G16=K19,G17=L19,G19=N19)</f>
        <v>0</v>
      </c>
      <c r="Q19" s="73">
        <f t="shared" si="0"/>
        <v>0</v>
      </c>
    </row>
    <row r="20" spans="1:17" ht="12.75" hidden="1">
      <c r="A20" s="239"/>
      <c r="B20" s="240"/>
      <c r="C20" s="241"/>
      <c r="D20" s="268"/>
      <c r="E20" s="246"/>
      <c r="F20" s="240"/>
      <c r="G20" s="277"/>
      <c r="H20" s="155"/>
      <c r="I20" s="47"/>
      <c r="J20" s="47"/>
      <c r="K20" s="69" t="s">
        <v>227</v>
      </c>
      <c r="L20" s="70" t="s">
        <v>472</v>
      </c>
      <c r="M20" s="70" t="s">
        <v>227</v>
      </c>
      <c r="N20" s="70" t="s">
        <v>227</v>
      </c>
      <c r="O20" s="71">
        <v>0.01</v>
      </c>
      <c r="P20" s="72" t="b">
        <f>AND(G16=K20,G18=M20,G19=N20)</f>
        <v>0</v>
      </c>
      <c r="Q20" s="73">
        <f t="shared" si="0"/>
        <v>0</v>
      </c>
    </row>
    <row r="21" spans="1:17" ht="12.75" hidden="1">
      <c r="A21" s="239"/>
      <c r="B21" s="240"/>
      <c r="C21" s="241"/>
      <c r="D21" s="268"/>
      <c r="E21" s="246"/>
      <c r="F21" s="240"/>
      <c r="G21" s="277"/>
      <c r="H21" s="155"/>
      <c r="I21" s="47"/>
      <c r="J21" s="47"/>
      <c r="K21" s="69" t="s">
        <v>227</v>
      </c>
      <c r="L21" s="70" t="s">
        <v>472</v>
      </c>
      <c r="M21" s="70" t="s">
        <v>227</v>
      </c>
      <c r="N21" s="70" t="s">
        <v>228</v>
      </c>
      <c r="O21" s="71">
        <v>0.02</v>
      </c>
      <c r="P21" s="72" t="b">
        <f>AND(G16=K21,G18=M21,G19=N21)</f>
        <v>0</v>
      </c>
      <c r="Q21" s="73">
        <f t="shared" si="0"/>
        <v>0</v>
      </c>
    </row>
    <row r="22" spans="1:17" ht="12.75" hidden="1">
      <c r="A22" s="239"/>
      <c r="B22" s="240"/>
      <c r="C22" s="241"/>
      <c r="D22" s="268"/>
      <c r="E22" s="246"/>
      <c r="F22" s="240"/>
      <c r="G22" s="277"/>
      <c r="H22" s="155"/>
      <c r="I22" s="47"/>
      <c r="J22" s="47"/>
      <c r="K22" s="69" t="s">
        <v>228</v>
      </c>
      <c r="L22" s="70" t="s">
        <v>227</v>
      </c>
      <c r="M22" s="70" t="s">
        <v>472</v>
      </c>
      <c r="N22" s="70" t="s">
        <v>472</v>
      </c>
      <c r="O22" s="71">
        <v>0.8</v>
      </c>
      <c r="P22" s="72" t="b">
        <f>AND(G16=K22,G17=L22)</f>
        <v>0</v>
      </c>
      <c r="Q22" s="73">
        <f t="shared" si="0"/>
        <v>0</v>
      </c>
    </row>
    <row r="23" spans="1:17" ht="12.75" hidden="1">
      <c r="A23" s="239"/>
      <c r="B23" s="240"/>
      <c r="C23" s="241"/>
      <c r="D23" s="268"/>
      <c r="E23" s="246"/>
      <c r="F23" s="240"/>
      <c r="G23" s="277"/>
      <c r="H23" s="155"/>
      <c r="I23" s="47"/>
      <c r="J23" s="47"/>
      <c r="K23" s="69" t="s">
        <v>228</v>
      </c>
      <c r="L23" s="70" t="s">
        <v>228</v>
      </c>
      <c r="M23" s="70" t="s">
        <v>472</v>
      </c>
      <c r="N23" s="70" t="s">
        <v>472</v>
      </c>
      <c r="O23" s="71">
        <v>1</v>
      </c>
      <c r="P23" s="72" t="b">
        <f>AND(G16=K23,G17=L23)</f>
        <v>0</v>
      </c>
      <c r="Q23" s="73">
        <f t="shared" si="0"/>
        <v>0</v>
      </c>
    </row>
    <row r="24" spans="1:17" ht="12.75" hidden="1">
      <c r="A24" s="239"/>
      <c r="B24" s="240"/>
      <c r="C24" s="241"/>
      <c r="D24" s="268"/>
      <c r="E24" s="246"/>
      <c r="F24" s="240"/>
      <c r="G24" s="277"/>
      <c r="H24" s="155"/>
      <c r="I24" s="47"/>
      <c r="J24" s="47"/>
      <c r="K24" s="74" t="s">
        <v>228</v>
      </c>
      <c r="L24" s="75" t="s">
        <v>472</v>
      </c>
      <c r="M24" s="75" t="s">
        <v>227</v>
      </c>
      <c r="N24" s="75" t="s">
        <v>472</v>
      </c>
      <c r="O24" s="76">
        <v>0.8</v>
      </c>
      <c r="P24" s="77" t="b">
        <f>AND(G16=K24,G18=M24)</f>
        <v>1</v>
      </c>
      <c r="Q24" s="78">
        <f t="shared" si="0"/>
        <v>0.8</v>
      </c>
    </row>
    <row r="25" spans="1:10" ht="26.25">
      <c r="A25" s="239" t="s">
        <v>276</v>
      </c>
      <c r="B25" s="240"/>
      <c r="C25" s="241" t="s">
        <v>77</v>
      </c>
      <c r="D25" s="268">
        <v>0.5</v>
      </c>
      <c r="E25" s="246" t="s">
        <v>227</v>
      </c>
      <c r="F25" s="240" t="s">
        <v>228</v>
      </c>
      <c r="G25" s="269" t="s">
        <v>228</v>
      </c>
      <c r="H25" s="155">
        <f>IF(G25=E25,D25,1)</f>
        <v>1</v>
      </c>
      <c r="I25" s="47"/>
      <c r="J25" s="47"/>
    </row>
    <row r="26" spans="1:10" ht="12.75">
      <c r="A26" s="239" t="s">
        <v>277</v>
      </c>
      <c r="B26" s="240"/>
      <c r="C26" s="241" t="s">
        <v>221</v>
      </c>
      <c r="D26" s="268">
        <v>0.5</v>
      </c>
      <c r="E26" s="246" t="s">
        <v>227</v>
      </c>
      <c r="F26" s="240" t="s">
        <v>228</v>
      </c>
      <c r="G26" s="269" t="s">
        <v>227</v>
      </c>
      <c r="H26" s="155">
        <f>IF(G26=E26,D26,1)</f>
        <v>0.5</v>
      </c>
      <c r="I26" s="47"/>
      <c r="J26" s="47"/>
    </row>
    <row r="27" spans="1:8" ht="12.75" hidden="1">
      <c r="A27" s="240"/>
      <c r="B27" s="240"/>
      <c r="C27" s="241"/>
      <c r="D27" s="239"/>
      <c r="E27" s="240"/>
      <c r="F27" s="240"/>
      <c r="G27" s="277"/>
      <c r="H27" s="154"/>
    </row>
    <row r="28" spans="1:7" ht="12.75" hidden="1">
      <c r="A28" s="167" t="s">
        <v>354</v>
      </c>
      <c r="B28" s="49"/>
      <c r="C28" s="59"/>
      <c r="D28" s="160"/>
      <c r="E28" s="49"/>
      <c r="F28" s="49"/>
      <c r="G28" s="172">
        <f>PRODUCT(H13:H26)</f>
        <v>0.132</v>
      </c>
    </row>
    <row r="29" spans="1:7" ht="12.75">
      <c r="A29" s="168" t="s">
        <v>355</v>
      </c>
      <c r="B29" s="161"/>
      <c r="C29" s="162"/>
      <c r="D29" s="163"/>
      <c r="E29" s="161"/>
      <c r="F29" s="161"/>
      <c r="G29" s="169">
        <f>D10*PRODUCT(H13,H14,H15,H25,H26)</f>
        <v>1.32</v>
      </c>
    </row>
    <row r="31" spans="1:8" ht="21">
      <c r="A31" s="166" t="s">
        <v>347</v>
      </c>
      <c r="B31" s="161"/>
      <c r="C31" s="166" t="s">
        <v>234</v>
      </c>
      <c r="D31" s="163"/>
      <c r="E31" s="161"/>
      <c r="F31" s="161"/>
      <c r="G31" s="301" t="s">
        <v>353</v>
      </c>
      <c r="H31" s="302"/>
    </row>
    <row r="32" spans="7:8" ht="12.75">
      <c r="G32" s="160"/>
      <c r="H32" s="160"/>
    </row>
    <row r="33" spans="1:10" ht="12.75">
      <c r="A33" s="422" t="s">
        <v>534</v>
      </c>
      <c r="B33" s="422"/>
      <c r="C33" s="422"/>
      <c r="D33" s="170" t="str">
        <f>$D$9</f>
        <v>Kengetal risico</v>
      </c>
      <c r="F33" s="44"/>
      <c r="G33" s="272"/>
      <c r="H33" s="174"/>
      <c r="I33" s="44"/>
      <c r="J33" s="44"/>
    </row>
    <row r="34" spans="3:8" ht="66">
      <c r="C34" s="59" t="s">
        <v>238</v>
      </c>
      <c r="D34" s="160">
        <v>100</v>
      </c>
      <c r="E34" s="49"/>
      <c r="G34" s="160"/>
      <c r="H34" s="303"/>
    </row>
    <row r="35" spans="4:8" ht="12.75">
      <c r="D35" s="160"/>
      <c r="E35" s="49"/>
      <c r="G35" s="160"/>
      <c r="H35" s="154"/>
    </row>
    <row r="36" spans="1:8" ht="12.75">
      <c r="A36" s="165" t="s">
        <v>352</v>
      </c>
      <c r="D36" s="170" t="s">
        <v>185</v>
      </c>
      <c r="E36" s="44" t="str">
        <f>$E$12</f>
        <v>Mogelijke antwoorden</v>
      </c>
      <c r="G36" s="237" t="s">
        <v>226</v>
      </c>
      <c r="H36" s="164" t="s">
        <v>186</v>
      </c>
    </row>
    <row r="37" spans="1:10" ht="26.25">
      <c r="A37" s="255" t="s">
        <v>278</v>
      </c>
      <c r="B37" s="240"/>
      <c r="C37" s="241" t="s">
        <v>53</v>
      </c>
      <c r="D37" s="273">
        <v>0.25</v>
      </c>
      <c r="E37" s="240" t="s">
        <v>227</v>
      </c>
      <c r="F37" s="240" t="s">
        <v>228</v>
      </c>
      <c r="G37" s="269" t="s">
        <v>228</v>
      </c>
      <c r="H37" s="155">
        <f>IF(G37=E37,D37,1)</f>
        <v>1</v>
      </c>
      <c r="I37" s="47"/>
      <c r="J37" s="47"/>
    </row>
    <row r="38" spans="1:10" ht="12.75">
      <c r="A38" s="255" t="s">
        <v>279</v>
      </c>
      <c r="B38" s="240"/>
      <c r="C38" s="241" t="s">
        <v>483</v>
      </c>
      <c r="D38" s="268">
        <v>0.1</v>
      </c>
      <c r="E38" s="246" t="s">
        <v>227</v>
      </c>
      <c r="F38" s="240" t="s">
        <v>228</v>
      </c>
      <c r="G38" s="269" t="s">
        <v>227</v>
      </c>
      <c r="H38" s="155">
        <f>IF(G38=E38,D38,1)</f>
        <v>0.1</v>
      </c>
      <c r="I38" s="47"/>
      <c r="J38" s="47"/>
    </row>
    <row r="39" spans="1:17" ht="12.75">
      <c r="A39" s="255" t="s">
        <v>280</v>
      </c>
      <c r="B39" s="240"/>
      <c r="C39" s="241" t="s">
        <v>484</v>
      </c>
      <c r="D39" s="268">
        <v>0.2</v>
      </c>
      <c r="E39" s="246" t="s">
        <v>227</v>
      </c>
      <c r="F39" s="240" t="s">
        <v>228</v>
      </c>
      <c r="G39" s="274" t="s">
        <v>227</v>
      </c>
      <c r="H39" s="155">
        <f>IF(G39=E39,D39,1)</f>
        <v>0.2</v>
      </c>
      <c r="I39" s="47"/>
      <c r="J39" s="47"/>
      <c r="P39" s="55"/>
      <c r="Q39" s="55"/>
    </row>
    <row r="40" spans="1:18" s="95" customFormat="1" ht="12.75">
      <c r="A40" s="256"/>
      <c r="B40" s="243"/>
      <c r="C40" s="257" t="s">
        <v>501</v>
      </c>
      <c r="D40" s="268"/>
      <c r="E40" s="246"/>
      <c r="F40" s="240"/>
      <c r="G40" s="277"/>
      <c r="H40" s="155">
        <f>K41</f>
        <v>1</v>
      </c>
      <c r="I40" s="3"/>
      <c r="J40" s="47"/>
      <c r="K40" s="55"/>
      <c r="L40" s="55"/>
      <c r="M40" s="55"/>
      <c r="N40" s="55"/>
      <c r="O40" s="55"/>
      <c r="P40" s="55"/>
      <c r="Q40" s="55"/>
      <c r="R40" s="96"/>
    </row>
    <row r="41" spans="1:18" s="95" customFormat="1" ht="12.75">
      <c r="A41" s="255" t="s">
        <v>281</v>
      </c>
      <c r="B41" s="243" t="s">
        <v>267</v>
      </c>
      <c r="C41" s="275" t="s">
        <v>315</v>
      </c>
      <c r="D41" s="268">
        <v>0.02</v>
      </c>
      <c r="E41" s="246" t="s">
        <v>227</v>
      </c>
      <c r="F41" s="240" t="s">
        <v>228</v>
      </c>
      <c r="G41" s="269" t="s">
        <v>228</v>
      </c>
      <c r="H41" s="154"/>
      <c r="I41" s="47"/>
      <c r="J41" s="96"/>
      <c r="K41" s="304">
        <f>IF(G41=E41,D41,IF(G42=E42,D42,100%))</f>
        <v>1</v>
      </c>
      <c r="L41" s="55"/>
      <c r="M41" s="55"/>
      <c r="N41" s="55"/>
      <c r="O41" s="55"/>
      <c r="P41" s="55"/>
      <c r="Q41" s="55"/>
      <c r="R41" s="96"/>
    </row>
    <row r="42" spans="1:18" s="95" customFormat="1" ht="39">
      <c r="A42" s="256" t="s">
        <v>85</v>
      </c>
      <c r="B42" s="243" t="s">
        <v>268</v>
      </c>
      <c r="C42" s="275" t="s">
        <v>398</v>
      </c>
      <c r="D42" s="268">
        <v>0.1</v>
      </c>
      <c r="E42" s="246" t="s">
        <v>227</v>
      </c>
      <c r="F42" s="240" t="s">
        <v>228</v>
      </c>
      <c r="G42" s="269" t="s">
        <v>228</v>
      </c>
      <c r="H42" s="155"/>
      <c r="I42" s="47"/>
      <c r="J42" s="96"/>
      <c r="K42" s="305"/>
      <c r="L42" s="55"/>
      <c r="M42" s="55"/>
      <c r="N42" s="55"/>
      <c r="O42" s="55"/>
      <c r="P42" s="55"/>
      <c r="Q42" s="55"/>
      <c r="R42" s="96"/>
    </row>
    <row r="43" spans="1:18" s="95" customFormat="1" ht="12.75" hidden="1">
      <c r="A43" s="243"/>
      <c r="B43" s="243"/>
      <c r="C43" s="275"/>
      <c r="D43" s="268"/>
      <c r="E43" s="246"/>
      <c r="F43" s="240"/>
      <c r="G43" s="313"/>
      <c r="H43" s="155"/>
      <c r="I43" s="47"/>
      <c r="J43" s="47"/>
      <c r="K43" s="47"/>
      <c r="L43" s="47"/>
      <c r="M43" s="47"/>
      <c r="N43" s="47"/>
      <c r="O43" s="47"/>
      <c r="P43" s="47"/>
      <c r="Q43" s="47"/>
      <c r="R43" s="96"/>
    </row>
    <row r="44" spans="1:18" s="95" customFormat="1" ht="12.75" hidden="1">
      <c r="A44" s="243"/>
      <c r="B44" s="243"/>
      <c r="C44" s="275"/>
      <c r="D44" s="268"/>
      <c r="E44" s="246"/>
      <c r="F44" s="240"/>
      <c r="G44" s="313"/>
      <c r="H44" s="155"/>
      <c r="I44" s="47"/>
      <c r="J44" s="47"/>
      <c r="K44" s="190" t="s">
        <v>291</v>
      </c>
      <c r="L44" s="47"/>
      <c r="M44" s="47"/>
      <c r="N44" s="47"/>
      <c r="O44" s="47"/>
      <c r="P44" s="47"/>
      <c r="Q44" s="47"/>
      <c r="R44" s="96"/>
    </row>
    <row r="45" spans="1:18" s="95" customFormat="1" ht="12.75" hidden="1">
      <c r="A45" s="243"/>
      <c r="B45" s="243"/>
      <c r="C45" s="275"/>
      <c r="D45" s="268"/>
      <c r="E45" s="246"/>
      <c r="F45" s="240"/>
      <c r="G45" s="313"/>
      <c r="H45" s="155"/>
      <c r="I45" s="47"/>
      <c r="J45" s="96"/>
      <c r="K45" s="96"/>
      <c r="L45" s="96"/>
      <c r="M45" s="96"/>
      <c r="N45" s="96"/>
      <c r="O45" s="96"/>
      <c r="P45" s="96"/>
      <c r="Q45" s="96"/>
      <c r="R45" s="96"/>
    </row>
    <row r="46" spans="1:17" ht="12.75">
      <c r="A46" s="240"/>
      <c r="B46" s="240"/>
      <c r="C46" s="242" t="s">
        <v>112</v>
      </c>
      <c r="D46" s="268"/>
      <c r="E46" s="246"/>
      <c r="F46" s="240"/>
      <c r="G46" s="277"/>
      <c r="H46" s="155">
        <f>IF(OR(P47:P55),Q46,O46)</f>
        <v>0.8</v>
      </c>
      <c r="I46" s="47"/>
      <c r="J46" s="47"/>
      <c r="K46" s="65" t="str">
        <f>A47</f>
        <v>PM 3</v>
      </c>
      <c r="L46" s="66" t="str">
        <f>A48</f>
        <v>PM 4</v>
      </c>
      <c r="M46" s="66" t="str">
        <f>A49</f>
        <v>PM 5</v>
      </c>
      <c r="N46" s="66" t="str">
        <f>A50</f>
        <v>PM 6</v>
      </c>
      <c r="O46" s="80">
        <v>1</v>
      </c>
      <c r="P46" s="67"/>
      <c r="Q46" s="68">
        <f>SUM(Q47:Q55)</f>
        <v>0.8</v>
      </c>
    </row>
    <row r="47" spans="1:17" ht="12.75">
      <c r="A47" s="239" t="s">
        <v>358</v>
      </c>
      <c r="B47" s="240" t="s">
        <v>267</v>
      </c>
      <c r="C47" s="241" t="s">
        <v>217</v>
      </c>
      <c r="D47" s="271" t="s">
        <v>362</v>
      </c>
      <c r="E47" s="246" t="s">
        <v>227</v>
      </c>
      <c r="F47" s="240" t="s">
        <v>228</v>
      </c>
      <c r="G47" s="269" t="s">
        <v>228</v>
      </c>
      <c r="H47" s="154"/>
      <c r="I47" s="47"/>
      <c r="K47" s="69" t="s">
        <v>227</v>
      </c>
      <c r="L47" s="70" t="s">
        <v>227</v>
      </c>
      <c r="M47" s="70" t="s">
        <v>472</v>
      </c>
      <c r="N47" s="70" t="s">
        <v>227</v>
      </c>
      <c r="O47" s="71">
        <v>0.02</v>
      </c>
      <c r="P47" s="72" t="b">
        <f>AND(G47=K47,G48=L47,G50=N47)</f>
        <v>0</v>
      </c>
      <c r="Q47" s="73">
        <f aca="true" t="shared" si="1" ref="Q47:Q55">P47*O47</f>
        <v>0</v>
      </c>
    </row>
    <row r="48" spans="1:17" ht="12.75">
      <c r="A48" s="239" t="s">
        <v>359</v>
      </c>
      <c r="B48" s="240" t="s">
        <v>268</v>
      </c>
      <c r="C48" s="241" t="s">
        <v>500</v>
      </c>
      <c r="D48" s="271" t="s">
        <v>282</v>
      </c>
      <c r="E48" s="246" t="s">
        <v>227</v>
      </c>
      <c r="F48" s="240" t="s">
        <v>228</v>
      </c>
      <c r="G48" s="269" t="s">
        <v>227</v>
      </c>
      <c r="H48" s="155"/>
      <c r="I48" s="47"/>
      <c r="J48" s="47"/>
      <c r="K48" s="69" t="s">
        <v>227</v>
      </c>
      <c r="L48" s="70" t="s">
        <v>227</v>
      </c>
      <c r="M48" s="70" t="s">
        <v>472</v>
      </c>
      <c r="N48" s="70" t="s">
        <v>228</v>
      </c>
      <c r="O48" s="71">
        <v>0.05</v>
      </c>
      <c r="P48" s="72" t="b">
        <f>AND(G47=K48,G48=L48,G50=N48)</f>
        <v>0</v>
      </c>
      <c r="Q48" s="73">
        <f t="shared" si="1"/>
        <v>0</v>
      </c>
    </row>
    <row r="49" spans="1:17" ht="12.75">
      <c r="A49" s="239" t="s">
        <v>360</v>
      </c>
      <c r="B49" s="240" t="s">
        <v>403</v>
      </c>
      <c r="C49" s="241" t="s">
        <v>493</v>
      </c>
      <c r="D49" s="268"/>
      <c r="E49" s="246" t="s">
        <v>227</v>
      </c>
      <c r="F49" s="240" t="s">
        <v>228</v>
      </c>
      <c r="G49" s="269" t="s">
        <v>472</v>
      </c>
      <c r="H49" s="155"/>
      <c r="I49" s="47"/>
      <c r="J49" s="47"/>
      <c r="K49" s="69" t="s">
        <v>227</v>
      </c>
      <c r="L49" s="70" t="s">
        <v>228</v>
      </c>
      <c r="M49" s="70" t="s">
        <v>472</v>
      </c>
      <c r="N49" s="70" t="s">
        <v>227</v>
      </c>
      <c r="O49" s="71">
        <v>0.5</v>
      </c>
      <c r="P49" s="72" t="b">
        <f>AND(G47=K49,G48=L49,G50=N49)</f>
        <v>0</v>
      </c>
      <c r="Q49" s="73">
        <f t="shared" si="1"/>
        <v>0</v>
      </c>
    </row>
    <row r="50" spans="1:17" ht="12.75">
      <c r="A50" s="239" t="s">
        <v>275</v>
      </c>
      <c r="B50" s="240" t="s">
        <v>404</v>
      </c>
      <c r="C50" s="241" t="s">
        <v>220</v>
      </c>
      <c r="D50" s="268"/>
      <c r="E50" s="246" t="s">
        <v>227</v>
      </c>
      <c r="F50" s="240" t="s">
        <v>228</v>
      </c>
      <c r="G50" s="269" t="s">
        <v>228</v>
      </c>
      <c r="H50" s="155"/>
      <c r="I50" s="47"/>
      <c r="J50" s="47"/>
      <c r="K50" s="69" t="s">
        <v>227</v>
      </c>
      <c r="L50" s="70" t="s">
        <v>228</v>
      </c>
      <c r="M50" s="70" t="s">
        <v>472</v>
      </c>
      <c r="N50" s="70" t="s">
        <v>228</v>
      </c>
      <c r="O50" s="71">
        <v>0.66</v>
      </c>
      <c r="P50" s="72" t="b">
        <f>AND(G47=K50,G48=L50,G50=N50)</f>
        <v>0</v>
      </c>
      <c r="Q50" s="73">
        <f t="shared" si="1"/>
        <v>0</v>
      </c>
    </row>
    <row r="51" spans="1:17" ht="12.75" hidden="1">
      <c r="A51" s="240"/>
      <c r="B51" s="240"/>
      <c r="C51" s="241"/>
      <c r="D51" s="268"/>
      <c r="E51" s="246"/>
      <c r="F51" s="240"/>
      <c r="G51" s="277"/>
      <c r="H51" s="155"/>
      <c r="I51" s="47"/>
      <c r="J51" s="47"/>
      <c r="K51" s="69" t="s">
        <v>227</v>
      </c>
      <c r="L51" s="70" t="s">
        <v>472</v>
      </c>
      <c r="M51" s="70" t="s">
        <v>227</v>
      </c>
      <c r="N51" s="70" t="s">
        <v>227</v>
      </c>
      <c r="O51" s="71">
        <v>0.01</v>
      </c>
      <c r="P51" s="72" t="b">
        <f>AND(G47=K51,G49=M51,G50=N51)</f>
        <v>0</v>
      </c>
      <c r="Q51" s="73">
        <f t="shared" si="1"/>
        <v>0</v>
      </c>
    </row>
    <row r="52" spans="1:17" ht="12.75" hidden="1">
      <c r="A52" s="240"/>
      <c r="B52" s="240"/>
      <c r="C52" s="241"/>
      <c r="D52" s="268"/>
      <c r="E52" s="246"/>
      <c r="F52" s="240"/>
      <c r="G52" s="277"/>
      <c r="H52" s="155"/>
      <c r="I52" s="47"/>
      <c r="J52" s="47"/>
      <c r="K52" s="69" t="s">
        <v>227</v>
      </c>
      <c r="L52" s="70" t="s">
        <v>472</v>
      </c>
      <c r="M52" s="70" t="s">
        <v>227</v>
      </c>
      <c r="N52" s="70" t="s">
        <v>228</v>
      </c>
      <c r="O52" s="71">
        <v>0.02</v>
      </c>
      <c r="P52" s="72" t="b">
        <f>AND(G47=K52,G49=M52,G50=N52)</f>
        <v>0</v>
      </c>
      <c r="Q52" s="73">
        <f t="shared" si="1"/>
        <v>0</v>
      </c>
    </row>
    <row r="53" spans="1:17" ht="12.75" hidden="1">
      <c r="A53" s="240"/>
      <c r="B53" s="240"/>
      <c r="C53" s="241"/>
      <c r="D53" s="268"/>
      <c r="E53" s="246"/>
      <c r="F53" s="240"/>
      <c r="G53" s="277"/>
      <c r="H53" s="155"/>
      <c r="I53" s="47"/>
      <c r="J53" s="47"/>
      <c r="K53" s="69" t="s">
        <v>228</v>
      </c>
      <c r="L53" s="70" t="s">
        <v>227</v>
      </c>
      <c r="M53" s="70" t="s">
        <v>472</v>
      </c>
      <c r="N53" s="70" t="s">
        <v>472</v>
      </c>
      <c r="O53" s="71">
        <v>0.8</v>
      </c>
      <c r="P53" s="72" t="b">
        <f>AND(G47=K53,G48=L53)</f>
        <v>1</v>
      </c>
      <c r="Q53" s="73">
        <f t="shared" si="1"/>
        <v>0.8</v>
      </c>
    </row>
    <row r="54" spans="1:17" ht="12.75" hidden="1">
      <c r="A54" s="240"/>
      <c r="B54" s="240"/>
      <c r="C54" s="241"/>
      <c r="D54" s="268"/>
      <c r="E54" s="246"/>
      <c r="F54" s="240"/>
      <c r="G54" s="277"/>
      <c r="H54" s="155"/>
      <c r="I54" s="47"/>
      <c r="J54" s="47"/>
      <c r="K54" s="69" t="s">
        <v>228</v>
      </c>
      <c r="L54" s="70" t="s">
        <v>228</v>
      </c>
      <c r="M54" s="70" t="s">
        <v>472</v>
      </c>
      <c r="N54" s="70" t="s">
        <v>472</v>
      </c>
      <c r="O54" s="71">
        <v>1</v>
      </c>
      <c r="P54" s="72" t="b">
        <f>AND(G47=K54,G48=L54)</f>
        <v>0</v>
      </c>
      <c r="Q54" s="73">
        <f t="shared" si="1"/>
        <v>0</v>
      </c>
    </row>
    <row r="55" spans="1:17" ht="12.75" hidden="1">
      <c r="A55" s="240"/>
      <c r="B55" s="240"/>
      <c r="C55" s="241"/>
      <c r="D55" s="268"/>
      <c r="E55" s="246"/>
      <c r="F55" s="240"/>
      <c r="G55" s="277"/>
      <c r="H55" s="155"/>
      <c r="I55" s="47"/>
      <c r="J55" s="47"/>
      <c r="K55" s="74" t="s">
        <v>228</v>
      </c>
      <c r="L55" s="75" t="s">
        <v>472</v>
      </c>
      <c r="M55" s="75" t="s">
        <v>227</v>
      </c>
      <c r="N55" s="75" t="s">
        <v>472</v>
      </c>
      <c r="O55" s="76">
        <v>0.8</v>
      </c>
      <c r="P55" s="77" t="b">
        <f>AND(G47=K55,G49=M55)</f>
        <v>0</v>
      </c>
      <c r="Q55" s="78">
        <f t="shared" si="1"/>
        <v>0</v>
      </c>
    </row>
    <row r="56" spans="1:10" ht="26.25">
      <c r="A56" s="239" t="s">
        <v>276</v>
      </c>
      <c r="B56" s="240"/>
      <c r="C56" s="241" t="s">
        <v>77</v>
      </c>
      <c r="D56" s="268">
        <v>0.5</v>
      </c>
      <c r="E56" s="246" t="s">
        <v>227</v>
      </c>
      <c r="F56" s="240" t="s">
        <v>228</v>
      </c>
      <c r="G56" s="269" t="s">
        <v>227</v>
      </c>
      <c r="H56" s="155">
        <f>IF(G56=E56,D56,1)</f>
        <v>0.5</v>
      </c>
      <c r="I56" s="47"/>
      <c r="J56" s="47"/>
    </row>
    <row r="57" spans="1:10" ht="12.75">
      <c r="A57" s="239" t="s">
        <v>277</v>
      </c>
      <c r="B57" s="240"/>
      <c r="C57" s="241" t="s">
        <v>221</v>
      </c>
      <c r="D57" s="268">
        <v>0.5</v>
      </c>
      <c r="E57" s="246" t="s">
        <v>227</v>
      </c>
      <c r="F57" s="240" t="s">
        <v>228</v>
      </c>
      <c r="G57" s="269" t="s">
        <v>227</v>
      </c>
      <c r="H57" s="155">
        <f>IF(G57=E57,D57,1)</f>
        <v>0.5</v>
      </c>
      <c r="I57" s="47"/>
      <c r="J57" s="47"/>
    </row>
    <row r="58" spans="4:10" ht="12.75" hidden="1">
      <c r="D58" s="60"/>
      <c r="E58" s="49"/>
      <c r="G58" s="160"/>
      <c r="H58" s="155"/>
      <c r="I58" s="47"/>
      <c r="J58" s="47"/>
    </row>
    <row r="59" spans="1:10" ht="12.75" hidden="1">
      <c r="A59" s="167" t="s">
        <v>354</v>
      </c>
      <c r="B59" s="49"/>
      <c r="C59" s="59"/>
      <c r="D59" s="160"/>
      <c r="E59" s="49"/>
      <c r="F59" s="49"/>
      <c r="G59" s="173">
        <f>PRODUCT(H37:H57)</f>
        <v>0.004000000000000001</v>
      </c>
      <c r="I59" s="47"/>
      <c r="J59" s="47"/>
    </row>
    <row r="60" spans="1:10" ht="12.75">
      <c r="A60" s="168" t="s">
        <v>355</v>
      </c>
      <c r="B60" s="161"/>
      <c r="C60" s="162"/>
      <c r="D60" s="163"/>
      <c r="E60" s="161"/>
      <c r="F60" s="161"/>
      <c r="G60" s="169">
        <f>D34*PRODUCT(H38,H39,H40,H46,H56,H57)</f>
        <v>0.4000000000000001</v>
      </c>
      <c r="I60" s="47"/>
      <c r="J60" s="47"/>
    </row>
    <row r="61" ht="12.75">
      <c r="H61" s="3"/>
    </row>
    <row r="62" spans="1:10" ht="12.75">
      <c r="A62" s="422" t="s">
        <v>535</v>
      </c>
      <c r="B62" s="422"/>
      <c r="C62" s="422"/>
      <c r="D62" s="170" t="str">
        <f>$D$9</f>
        <v>Kengetal risico</v>
      </c>
      <c r="F62" s="165"/>
      <c r="G62" s="237"/>
      <c r="H62" s="164"/>
      <c r="I62" s="44"/>
      <c r="J62" s="44"/>
    </row>
    <row r="63" spans="3:8" ht="39">
      <c r="C63" s="59" t="s">
        <v>80</v>
      </c>
      <c r="D63" s="160">
        <v>250</v>
      </c>
      <c r="E63" s="49"/>
      <c r="G63" s="160"/>
      <c r="H63" s="179"/>
    </row>
    <row r="64" spans="4:8" ht="12.75">
      <c r="D64" s="160"/>
      <c r="E64" s="49"/>
      <c r="G64" s="160"/>
      <c r="H64" s="154"/>
    </row>
    <row r="65" spans="1:8" ht="12.75">
      <c r="A65" s="165" t="s">
        <v>352</v>
      </c>
      <c r="D65" s="170" t="s">
        <v>185</v>
      </c>
      <c r="E65" s="44" t="str">
        <f>$E$12</f>
        <v>Mogelijke antwoorden</v>
      </c>
      <c r="G65" s="237" t="s">
        <v>226</v>
      </c>
      <c r="H65" s="164" t="s">
        <v>186</v>
      </c>
    </row>
    <row r="66" spans="1:10" ht="26.25">
      <c r="A66" s="278" t="s">
        <v>278</v>
      </c>
      <c r="B66" s="279"/>
      <c r="C66" s="280" t="s">
        <v>53</v>
      </c>
      <c r="D66" s="281">
        <f>D37</f>
        <v>0.25</v>
      </c>
      <c r="E66" s="279"/>
      <c r="F66" s="279"/>
      <c r="G66" s="282"/>
      <c r="H66" s="180">
        <f>H37</f>
        <v>1</v>
      </c>
      <c r="I66" s="47"/>
      <c r="J66" s="63"/>
    </row>
    <row r="67" spans="1:10" ht="12.75">
      <c r="A67" s="239" t="s">
        <v>86</v>
      </c>
      <c r="B67" s="240"/>
      <c r="C67" s="241" t="s">
        <v>488</v>
      </c>
      <c r="D67" s="273">
        <v>0.02</v>
      </c>
      <c r="E67" s="246" t="s">
        <v>227</v>
      </c>
      <c r="F67" s="240" t="s">
        <v>228</v>
      </c>
      <c r="G67" s="269" t="s">
        <v>227</v>
      </c>
      <c r="H67" s="155">
        <f>IF(G67=E67,D67,1)</f>
        <v>0.02</v>
      </c>
      <c r="I67" s="47"/>
      <c r="J67" s="47"/>
    </row>
    <row r="68" spans="1:13" ht="26.25">
      <c r="A68" s="283" t="s">
        <v>504</v>
      </c>
      <c r="B68" s="284"/>
      <c r="C68" s="285" t="s">
        <v>501</v>
      </c>
      <c r="D68" s="286">
        <f>D40</f>
        <v>0</v>
      </c>
      <c r="E68" s="285"/>
      <c r="F68" s="285"/>
      <c r="G68" s="283"/>
      <c r="H68" s="181">
        <f>H40</f>
        <v>1</v>
      </c>
      <c r="I68" s="47"/>
      <c r="K68" s="3"/>
      <c r="L68" s="3"/>
      <c r="M68" s="3"/>
    </row>
    <row r="69" spans="1:13" ht="26.25">
      <c r="A69" s="287" t="s">
        <v>399</v>
      </c>
      <c r="B69" s="279"/>
      <c r="C69" s="280" t="s">
        <v>112</v>
      </c>
      <c r="D69" s="288"/>
      <c r="E69" s="284"/>
      <c r="F69" s="279"/>
      <c r="G69" s="282"/>
      <c r="H69" s="180">
        <f>H46</f>
        <v>0.8</v>
      </c>
      <c r="K69" s="3"/>
      <c r="L69" s="3"/>
      <c r="M69" s="3"/>
    </row>
    <row r="70" spans="1:13" ht="12.75">
      <c r="A70" s="278" t="s">
        <v>276</v>
      </c>
      <c r="B70" s="279"/>
      <c r="C70" s="289" t="s">
        <v>77</v>
      </c>
      <c r="D70" s="281">
        <f>D56</f>
        <v>0.5</v>
      </c>
      <c r="E70" s="284"/>
      <c r="F70" s="279"/>
      <c r="G70" s="282"/>
      <c r="H70" s="180">
        <f>H56</f>
        <v>0.5</v>
      </c>
      <c r="I70" s="47"/>
      <c r="K70" s="3"/>
      <c r="L70" s="3"/>
      <c r="M70" s="3"/>
    </row>
    <row r="71" spans="1:13" ht="12.75">
      <c r="A71" s="278" t="s">
        <v>277</v>
      </c>
      <c r="B71" s="279"/>
      <c r="C71" s="289" t="s">
        <v>221</v>
      </c>
      <c r="D71" s="281">
        <f>D57</f>
        <v>0.5</v>
      </c>
      <c r="E71" s="284"/>
      <c r="F71" s="279"/>
      <c r="G71" s="282"/>
      <c r="H71" s="180">
        <f>H57</f>
        <v>0.5</v>
      </c>
      <c r="I71" s="47"/>
      <c r="K71" s="3"/>
      <c r="L71" s="3"/>
      <c r="M71" s="3"/>
    </row>
    <row r="72" spans="7:9" ht="12.75" hidden="1">
      <c r="G72" s="160"/>
      <c r="H72" s="154"/>
      <c r="I72" s="47"/>
    </row>
    <row r="73" spans="1:9" ht="12.75" hidden="1">
      <c r="A73" s="167" t="s">
        <v>354</v>
      </c>
      <c r="B73" s="49"/>
      <c r="C73" s="59"/>
      <c r="D73" s="160"/>
      <c r="E73" s="49"/>
      <c r="F73" s="49"/>
      <c r="G73" s="173">
        <f>PRODUCT(H66:H71)</f>
        <v>0.004</v>
      </c>
      <c r="I73" s="47"/>
    </row>
    <row r="74" spans="1:9" ht="12.75">
      <c r="A74" s="168" t="s">
        <v>355</v>
      </c>
      <c r="B74" s="161"/>
      <c r="C74" s="162"/>
      <c r="D74" s="163"/>
      <c r="E74" s="161"/>
      <c r="F74" s="161"/>
      <c r="G74" s="169">
        <f>D63*PRODUCT(H66,H67,H68,H69,H70,H71)</f>
        <v>1</v>
      </c>
      <c r="I74" s="47"/>
    </row>
    <row r="75" ht="12.75">
      <c r="I75" s="47"/>
    </row>
    <row r="76" spans="1:10" ht="12.75">
      <c r="A76" s="422" t="s">
        <v>536</v>
      </c>
      <c r="B76" s="422"/>
      <c r="C76" s="422"/>
      <c r="D76" s="170" t="str">
        <f>$D$9</f>
        <v>Kengetal risico</v>
      </c>
      <c r="F76" s="44"/>
      <c r="G76" s="272"/>
      <c r="H76" s="174"/>
      <c r="I76" s="47"/>
      <c r="J76" s="44"/>
    </row>
    <row r="77" spans="3:9" ht="66">
      <c r="C77" s="59" t="s">
        <v>239</v>
      </c>
      <c r="D77" s="160">
        <v>250</v>
      </c>
      <c r="E77" s="49"/>
      <c r="G77" s="160"/>
      <c r="H77" s="179"/>
      <c r="I77" s="47"/>
    </row>
    <row r="78" spans="4:9" ht="12.75">
      <c r="D78" s="160"/>
      <c r="E78" s="49"/>
      <c r="G78" s="160"/>
      <c r="H78" s="154"/>
      <c r="I78" s="47"/>
    </row>
    <row r="79" spans="1:11" ht="12.75">
      <c r="A79" s="165" t="s">
        <v>352</v>
      </c>
      <c r="D79" s="170" t="s">
        <v>185</v>
      </c>
      <c r="E79" s="44" t="str">
        <f>$E$12</f>
        <v>Mogelijke antwoorden</v>
      </c>
      <c r="G79" s="237" t="s">
        <v>226</v>
      </c>
      <c r="H79" s="164" t="s">
        <v>186</v>
      </c>
      <c r="I79" s="47"/>
      <c r="K79" s="190" t="s">
        <v>290</v>
      </c>
    </row>
    <row r="80" spans="1:10" ht="26.25">
      <c r="A80" s="278" t="s">
        <v>278</v>
      </c>
      <c r="B80" s="279"/>
      <c r="C80" s="280" t="s">
        <v>53</v>
      </c>
      <c r="D80" s="290">
        <f>D66</f>
        <v>0.25</v>
      </c>
      <c r="E80" s="280"/>
      <c r="F80" s="280"/>
      <c r="G80" s="283"/>
      <c r="H80" s="182">
        <f>H66</f>
        <v>1</v>
      </c>
      <c r="I80" s="47"/>
      <c r="J80" s="63"/>
    </row>
    <row r="81" spans="1:18" ht="12.75">
      <c r="A81" s="239"/>
      <c r="B81" s="240"/>
      <c r="C81" s="241" t="s">
        <v>94</v>
      </c>
      <c r="D81" s="268"/>
      <c r="E81" s="246"/>
      <c r="F81" s="240"/>
      <c r="G81" s="277"/>
      <c r="H81" s="155">
        <f>IF(OR(P82:P85),Q81,O81)</f>
        <v>0.2</v>
      </c>
      <c r="I81" s="47"/>
      <c r="J81" s="47"/>
      <c r="K81" s="65" t="str">
        <f>A82</f>
        <v>PM 15</v>
      </c>
      <c r="L81" s="66" t="str">
        <f>A83</f>
        <v>PM 16</v>
      </c>
      <c r="M81" s="66"/>
      <c r="N81" s="66"/>
      <c r="O81" s="80">
        <v>1</v>
      </c>
      <c r="P81" s="67"/>
      <c r="Q81" s="68">
        <f>SUM(Q82:Q91)</f>
        <v>0.2</v>
      </c>
      <c r="R81" s="47"/>
    </row>
    <row r="82" spans="1:18" ht="12.75">
      <c r="A82" s="239" t="s">
        <v>87</v>
      </c>
      <c r="B82" s="240" t="s">
        <v>267</v>
      </c>
      <c r="C82" s="241" t="s">
        <v>489</v>
      </c>
      <c r="D82" s="271" t="s">
        <v>362</v>
      </c>
      <c r="E82" s="246" t="s">
        <v>227</v>
      </c>
      <c r="F82" s="240" t="s">
        <v>228</v>
      </c>
      <c r="G82" s="269" t="s">
        <v>227</v>
      </c>
      <c r="H82" s="154"/>
      <c r="K82" s="69" t="s">
        <v>227</v>
      </c>
      <c r="L82" s="70" t="s">
        <v>227</v>
      </c>
      <c r="M82" s="70"/>
      <c r="N82" s="70"/>
      <c r="O82" s="71">
        <v>0.1</v>
      </c>
      <c r="P82" s="72" t="b">
        <f>AND(G82=E82,G83=E83)</f>
        <v>0</v>
      </c>
      <c r="Q82" s="73">
        <f>P82*O82</f>
        <v>0</v>
      </c>
      <c r="R82" s="47"/>
    </row>
    <row r="83" spans="1:18" ht="26.25">
      <c r="A83" s="239" t="s">
        <v>88</v>
      </c>
      <c r="B83" s="240" t="s">
        <v>268</v>
      </c>
      <c r="C83" s="241" t="s">
        <v>92</v>
      </c>
      <c r="D83" s="271" t="s">
        <v>283</v>
      </c>
      <c r="E83" s="246" t="s">
        <v>227</v>
      </c>
      <c r="F83" s="240" t="s">
        <v>228</v>
      </c>
      <c r="G83" s="269" t="s">
        <v>228</v>
      </c>
      <c r="H83" s="155"/>
      <c r="I83" s="47"/>
      <c r="J83" s="47"/>
      <c r="K83" s="69" t="s">
        <v>227</v>
      </c>
      <c r="L83" s="70" t="s">
        <v>228</v>
      </c>
      <c r="M83" s="70"/>
      <c r="N83" s="70"/>
      <c r="O83" s="71">
        <v>0.2</v>
      </c>
      <c r="P83" s="72" t="b">
        <f>AND(G82=E82,G83=F83)</f>
        <v>1</v>
      </c>
      <c r="Q83" s="73">
        <f>P83*O83</f>
        <v>0.2</v>
      </c>
      <c r="R83" s="47"/>
    </row>
    <row r="84" spans="1:18" ht="12.75" hidden="1">
      <c r="A84" s="239"/>
      <c r="B84" s="240"/>
      <c r="C84" s="241"/>
      <c r="D84" s="268"/>
      <c r="E84" s="246"/>
      <c r="F84" s="240"/>
      <c r="G84" s="313"/>
      <c r="H84" s="155"/>
      <c r="I84" s="47"/>
      <c r="J84" s="47"/>
      <c r="K84" s="69" t="s">
        <v>228</v>
      </c>
      <c r="L84" s="70" t="s">
        <v>227</v>
      </c>
      <c r="M84" s="70"/>
      <c r="N84" s="70"/>
      <c r="O84" s="71">
        <v>0.1</v>
      </c>
      <c r="P84" s="72" t="b">
        <f>AND(G82=F82,G83=E83)</f>
        <v>0</v>
      </c>
      <c r="Q84" s="73">
        <f>P84*O84</f>
        <v>0</v>
      </c>
      <c r="R84" s="47"/>
    </row>
    <row r="85" spans="1:18" ht="12.75" hidden="1">
      <c r="A85" s="239"/>
      <c r="B85" s="240"/>
      <c r="C85" s="241"/>
      <c r="D85" s="268"/>
      <c r="E85" s="246"/>
      <c r="F85" s="240"/>
      <c r="G85" s="313"/>
      <c r="H85" s="155"/>
      <c r="I85" s="47"/>
      <c r="J85" s="47"/>
      <c r="K85" s="74" t="s">
        <v>228</v>
      </c>
      <c r="L85" s="75" t="s">
        <v>228</v>
      </c>
      <c r="M85" s="75"/>
      <c r="N85" s="75"/>
      <c r="O85" s="76">
        <v>1</v>
      </c>
      <c r="P85" s="77" t="b">
        <f>AND(G82=F82,G83=F83)</f>
        <v>0</v>
      </c>
      <c r="Q85" s="78">
        <f>P86*O85</f>
        <v>0</v>
      </c>
      <c r="R85" s="47"/>
    </row>
    <row r="86" spans="1:18" ht="26.25">
      <c r="A86" s="239" t="s">
        <v>89</v>
      </c>
      <c r="B86" s="240"/>
      <c r="C86" s="241" t="s">
        <v>273</v>
      </c>
      <c r="D86" s="273">
        <v>0.02</v>
      </c>
      <c r="E86" s="246" t="s">
        <v>365</v>
      </c>
      <c r="F86" s="240" t="s">
        <v>228</v>
      </c>
      <c r="G86" s="269" t="s">
        <v>228</v>
      </c>
      <c r="H86" s="155">
        <f>IF(G86=E86,D86,1)</f>
        <v>1</v>
      </c>
      <c r="I86" s="47"/>
      <c r="J86" s="47"/>
      <c r="K86" s="47"/>
      <c r="L86" s="47"/>
      <c r="M86" s="47"/>
      <c r="N86" s="47"/>
      <c r="O86" s="47"/>
      <c r="P86" s="47"/>
      <c r="Q86" s="47"/>
      <c r="R86" s="47"/>
    </row>
    <row r="87" spans="1:18" s="95" customFormat="1" ht="26.25">
      <c r="A87" s="283" t="s">
        <v>504</v>
      </c>
      <c r="B87" s="291"/>
      <c r="C87" s="292" t="s">
        <v>501</v>
      </c>
      <c r="D87" s="293"/>
      <c r="E87" s="294"/>
      <c r="F87" s="291"/>
      <c r="G87" s="295"/>
      <c r="H87" s="183">
        <f>H40</f>
        <v>1</v>
      </c>
      <c r="I87" s="47"/>
      <c r="J87" s="96"/>
      <c r="K87" s="96"/>
      <c r="L87" s="96"/>
      <c r="M87" s="96"/>
      <c r="N87" s="96"/>
      <c r="O87" s="96"/>
      <c r="P87" s="96"/>
      <c r="Q87" s="96"/>
      <c r="R87" s="96"/>
    </row>
    <row r="88" spans="1:18" ht="26.25">
      <c r="A88" s="287" t="s">
        <v>399</v>
      </c>
      <c r="B88" s="279"/>
      <c r="C88" s="280" t="s">
        <v>112</v>
      </c>
      <c r="D88" s="288"/>
      <c r="E88" s="284"/>
      <c r="F88" s="279"/>
      <c r="G88" s="282"/>
      <c r="H88" s="155">
        <f>H46</f>
        <v>0.8</v>
      </c>
      <c r="I88" s="62"/>
      <c r="J88" s="64"/>
      <c r="K88" s="64"/>
      <c r="L88" s="64"/>
      <c r="M88" s="64"/>
      <c r="N88" s="64"/>
      <c r="O88" s="64"/>
      <c r="P88" s="64"/>
      <c r="Q88" s="64"/>
      <c r="R88" s="64"/>
    </row>
    <row r="89" spans="1:13" ht="12.75">
      <c r="A89" s="278" t="s">
        <v>276</v>
      </c>
      <c r="B89" s="279"/>
      <c r="C89" s="289" t="s">
        <v>77</v>
      </c>
      <c r="D89" s="281">
        <f>D56</f>
        <v>0.5</v>
      </c>
      <c r="E89" s="284"/>
      <c r="F89" s="279"/>
      <c r="G89" s="282"/>
      <c r="H89" s="155">
        <f>IF(G89=E89,D89,1)</f>
        <v>0.5</v>
      </c>
      <c r="I89" s="63"/>
      <c r="J89" s="64"/>
      <c r="K89" s="61"/>
      <c r="L89" s="61"/>
      <c r="M89" s="63"/>
    </row>
    <row r="90" spans="1:13" ht="12.75">
      <c r="A90" s="278" t="s">
        <v>277</v>
      </c>
      <c r="B90" s="279"/>
      <c r="C90" s="289" t="s">
        <v>221</v>
      </c>
      <c r="D90" s="281">
        <f>D57</f>
        <v>0.5</v>
      </c>
      <c r="E90" s="284"/>
      <c r="F90" s="279"/>
      <c r="G90" s="282"/>
      <c r="H90" s="180">
        <f>H57</f>
        <v>0.5</v>
      </c>
      <c r="I90" s="63"/>
      <c r="J90" s="64"/>
      <c r="K90" s="61"/>
      <c r="L90" s="61"/>
      <c r="M90" s="63"/>
    </row>
    <row r="91" spans="7:8" ht="12.75" hidden="1">
      <c r="G91" s="160"/>
      <c r="H91" s="154"/>
    </row>
    <row r="92" spans="1:7" ht="12.75" hidden="1">
      <c r="A92" s="167" t="s">
        <v>354</v>
      </c>
      <c r="B92" s="49"/>
      <c r="C92" s="59"/>
      <c r="D92" s="160"/>
      <c r="E92" s="49"/>
      <c r="F92" s="49"/>
      <c r="G92" s="173">
        <f>PRODUCT(H80:H90)</f>
        <v>0.04000000000000001</v>
      </c>
    </row>
    <row r="93" spans="1:7" ht="12.75">
      <c r="A93" s="168" t="s">
        <v>355</v>
      </c>
      <c r="B93" s="161"/>
      <c r="C93" s="162"/>
      <c r="D93" s="163"/>
      <c r="E93" s="161"/>
      <c r="F93" s="161"/>
      <c r="G93" s="177">
        <f>D77*PRODUCT(H80,H81,H86,H87,H88,H89,H90)</f>
        <v>10.000000000000002</v>
      </c>
    </row>
    <row r="95" spans="1:10" ht="12.75">
      <c r="A95" s="422" t="s">
        <v>537</v>
      </c>
      <c r="B95" s="422"/>
      <c r="C95" s="422"/>
      <c r="D95" s="170" t="str">
        <f>$D$9</f>
        <v>Kengetal risico</v>
      </c>
      <c r="F95" s="44"/>
      <c r="G95" s="272"/>
      <c r="H95" s="174"/>
      <c r="I95" s="44"/>
      <c r="J95" s="44"/>
    </row>
    <row r="96" spans="3:8" ht="26.25">
      <c r="C96" s="59" t="s">
        <v>38</v>
      </c>
      <c r="D96" s="160">
        <v>250</v>
      </c>
      <c r="E96" s="49"/>
      <c r="G96" s="160"/>
      <c r="H96" s="179"/>
    </row>
    <row r="97" spans="4:8" ht="12.75">
      <c r="D97" s="160"/>
      <c r="E97" s="49"/>
      <c r="G97" s="160"/>
      <c r="H97" s="154"/>
    </row>
    <row r="98" spans="1:8" ht="12.75">
      <c r="A98" s="165" t="s">
        <v>352</v>
      </c>
      <c r="D98" s="170" t="s">
        <v>185</v>
      </c>
      <c r="E98" s="44" t="str">
        <f>$E$12</f>
        <v>Mogelijke antwoorden</v>
      </c>
      <c r="G98" s="237" t="s">
        <v>226</v>
      </c>
      <c r="H98" s="164" t="s">
        <v>186</v>
      </c>
    </row>
    <row r="99" spans="1:10" ht="26.25">
      <c r="A99" s="278" t="s">
        <v>278</v>
      </c>
      <c r="B99" s="279"/>
      <c r="C99" s="280" t="s">
        <v>53</v>
      </c>
      <c r="D99" s="290">
        <f>D81</f>
        <v>0</v>
      </c>
      <c r="E99" s="280"/>
      <c r="F99" s="280"/>
      <c r="G99" s="283"/>
      <c r="H99" s="182">
        <f>H81</f>
        <v>0.2</v>
      </c>
      <c r="I99" s="63"/>
      <c r="J99" s="63"/>
    </row>
    <row r="100" spans="1:8" ht="26.25">
      <c r="A100" s="239" t="s">
        <v>90</v>
      </c>
      <c r="B100" s="240"/>
      <c r="C100" s="241" t="s">
        <v>151</v>
      </c>
      <c r="D100" s="273">
        <v>0.5</v>
      </c>
      <c r="E100" s="246" t="s">
        <v>227</v>
      </c>
      <c r="F100" s="240" t="s">
        <v>228</v>
      </c>
      <c r="G100" s="269" t="s">
        <v>227</v>
      </c>
      <c r="H100" s="155">
        <f>IF(G100=E100,D100,1)</f>
        <v>0.5</v>
      </c>
    </row>
    <row r="101" spans="1:8" ht="26.25">
      <c r="A101" s="239" t="s">
        <v>91</v>
      </c>
      <c r="B101" s="240"/>
      <c r="C101" s="258" t="s">
        <v>367</v>
      </c>
      <c r="D101" s="273">
        <v>0.2</v>
      </c>
      <c r="E101" s="246" t="s">
        <v>227</v>
      </c>
      <c r="F101" s="240" t="s">
        <v>228</v>
      </c>
      <c r="G101" s="269" t="s">
        <v>227</v>
      </c>
      <c r="H101" s="155">
        <f>IF(G101=E101,D101,1)</f>
        <v>0.2</v>
      </c>
    </row>
    <row r="102" spans="1:9" ht="26.25">
      <c r="A102" s="283" t="s">
        <v>504</v>
      </c>
      <c r="B102" s="279"/>
      <c r="C102" s="280" t="s">
        <v>501</v>
      </c>
      <c r="D102" s="290">
        <f>D40</f>
        <v>0</v>
      </c>
      <c r="E102" s="296"/>
      <c r="F102" s="296"/>
      <c r="G102" s="297"/>
      <c r="H102" s="182">
        <f>H40</f>
        <v>1</v>
      </c>
      <c r="I102" s="307"/>
    </row>
    <row r="103" spans="1:9" ht="26.25">
      <c r="A103" s="287" t="s">
        <v>399</v>
      </c>
      <c r="B103" s="279"/>
      <c r="C103" s="280" t="s">
        <v>112</v>
      </c>
      <c r="D103" s="290"/>
      <c r="E103" s="296"/>
      <c r="F103" s="296"/>
      <c r="G103" s="297"/>
      <c r="H103" s="182">
        <f>H46</f>
        <v>0.8</v>
      </c>
      <c r="I103" s="307"/>
    </row>
    <row r="104" spans="1:9" ht="26.25">
      <c r="A104" s="278" t="s">
        <v>276</v>
      </c>
      <c r="B104" s="279"/>
      <c r="C104" s="280" t="s">
        <v>77</v>
      </c>
      <c r="D104" s="290">
        <f>D56</f>
        <v>0.5</v>
      </c>
      <c r="E104" s="296"/>
      <c r="F104" s="296"/>
      <c r="G104" s="297"/>
      <c r="H104" s="182">
        <f>H56</f>
        <v>0.5</v>
      </c>
      <c r="I104" s="307"/>
    </row>
    <row r="105" spans="1:9" ht="12.75">
      <c r="A105" s="278" t="s">
        <v>277</v>
      </c>
      <c r="B105" s="279"/>
      <c r="C105" s="280" t="s">
        <v>221</v>
      </c>
      <c r="D105" s="290">
        <f>D57</f>
        <v>0.5</v>
      </c>
      <c r="E105" s="296"/>
      <c r="F105" s="296"/>
      <c r="G105" s="297"/>
      <c r="H105" s="182">
        <f>H57</f>
        <v>0.5</v>
      </c>
      <c r="I105" s="307"/>
    </row>
    <row r="106" spans="1:9" ht="12.75" hidden="1">
      <c r="A106" s="158"/>
      <c r="B106" s="61"/>
      <c r="C106" s="62"/>
      <c r="D106" s="159"/>
      <c r="E106" s="79"/>
      <c r="F106" s="79"/>
      <c r="G106" s="306"/>
      <c r="H106" s="182"/>
      <c r="I106" s="307"/>
    </row>
    <row r="107" spans="1:9" ht="12.75" hidden="1">
      <c r="A107" s="167" t="s">
        <v>354</v>
      </c>
      <c r="B107" s="49"/>
      <c r="C107" s="59"/>
      <c r="D107" s="160"/>
      <c r="E107" s="49"/>
      <c r="F107" s="49"/>
      <c r="G107" s="178">
        <f>PRODUCT(H99:H105)</f>
        <v>0.004000000000000001</v>
      </c>
      <c r="I107" s="307"/>
    </row>
    <row r="108" spans="1:9" ht="12.75">
      <c r="A108" s="168" t="s">
        <v>355</v>
      </c>
      <c r="B108" s="161"/>
      <c r="C108" s="162"/>
      <c r="D108" s="163"/>
      <c r="E108" s="161"/>
      <c r="F108" s="161"/>
      <c r="G108" s="169">
        <f>D96*PRODUCT(H99,H100,H101,H102,H103,H104)</f>
        <v>2.0000000000000004</v>
      </c>
      <c r="I108" s="307"/>
    </row>
    <row r="109" spans="1:9" ht="12.75">
      <c r="A109" s="61"/>
      <c r="B109" s="61"/>
      <c r="C109" s="62"/>
      <c r="D109" s="159"/>
      <c r="E109" s="79"/>
      <c r="F109" s="79"/>
      <c r="G109" s="159"/>
      <c r="H109" s="159"/>
      <c r="I109" s="307"/>
    </row>
    <row r="110" spans="1:15" ht="21">
      <c r="A110" s="166" t="s">
        <v>348</v>
      </c>
      <c r="B110" s="163"/>
      <c r="C110" s="184" t="s">
        <v>461</v>
      </c>
      <c r="D110" s="163"/>
      <c r="E110" s="161"/>
      <c r="F110" s="161"/>
      <c r="G110" s="301" t="s">
        <v>353</v>
      </c>
      <c r="H110" s="302"/>
      <c r="K110" s="3"/>
      <c r="L110" s="3"/>
      <c r="M110" s="3"/>
      <c r="N110" s="3"/>
      <c r="O110" s="3"/>
    </row>
    <row r="111" spans="4:5" ht="12.75">
      <c r="D111" s="160"/>
      <c r="E111" s="49"/>
    </row>
    <row r="112" spans="1:10" ht="12.75">
      <c r="A112" s="422" t="s">
        <v>538</v>
      </c>
      <c r="B112" s="422"/>
      <c r="C112" s="422"/>
      <c r="D112" s="170" t="s">
        <v>184</v>
      </c>
      <c r="H112" s="164" t="s">
        <v>186</v>
      </c>
      <c r="I112" s="44"/>
      <c r="J112" s="44"/>
    </row>
    <row r="113" spans="1:8" ht="99" customHeight="1">
      <c r="A113" s="97" t="s">
        <v>82</v>
      </c>
      <c r="C113" s="59" t="s">
        <v>243</v>
      </c>
      <c r="D113" s="160">
        <v>50</v>
      </c>
      <c r="E113" s="49"/>
      <c r="G113" s="160"/>
      <c r="H113" s="179"/>
    </row>
    <row r="114" spans="7:11" ht="12.75">
      <c r="G114" s="160"/>
      <c r="H114" s="155"/>
      <c r="K114" s="190" t="s">
        <v>289</v>
      </c>
    </row>
    <row r="115" spans="1:8" ht="12.75">
      <c r="A115" s="165" t="s">
        <v>352</v>
      </c>
      <c r="D115" s="170" t="s">
        <v>185</v>
      </c>
      <c r="E115" s="48" t="s">
        <v>225</v>
      </c>
      <c r="G115" s="237" t="s">
        <v>226</v>
      </c>
      <c r="H115" s="179"/>
    </row>
    <row r="116" spans="1:9" ht="26.25">
      <c r="A116" s="277" t="s">
        <v>503</v>
      </c>
      <c r="B116" s="246"/>
      <c r="C116" s="247" t="s">
        <v>156</v>
      </c>
      <c r="D116" s="314">
        <v>0.2</v>
      </c>
      <c r="E116" s="246" t="s">
        <v>70</v>
      </c>
      <c r="F116" s="246" t="s">
        <v>69</v>
      </c>
      <c r="G116" s="269" t="s">
        <v>70</v>
      </c>
      <c r="H116" s="155">
        <f>IF(G116=E116,D116,1)</f>
        <v>0.2</v>
      </c>
      <c r="I116" s="49"/>
    </row>
    <row r="117" spans="1:17" ht="12.75" hidden="1">
      <c r="A117" s="240"/>
      <c r="B117" s="240"/>
      <c r="C117" s="241"/>
      <c r="D117" s="315"/>
      <c r="E117" s="240"/>
      <c r="F117" s="240"/>
      <c r="G117" s="277"/>
      <c r="H117" s="155">
        <f>IF(OR(P118:P120),Q117,O117)</f>
        <v>0.05</v>
      </c>
      <c r="K117" s="81" t="str">
        <f>A118</f>
        <v>PM 21</v>
      </c>
      <c r="L117" s="82" t="str">
        <f>A119</f>
        <v>PM 22</v>
      </c>
      <c r="M117" s="82" t="str">
        <f>A120</f>
        <v>PM 23</v>
      </c>
      <c r="N117" s="82"/>
      <c r="O117" s="93">
        <v>1</v>
      </c>
      <c r="P117" s="83"/>
      <c r="Q117" s="84">
        <f>SUM(Q118:Q120)</f>
        <v>0.05</v>
      </c>
    </row>
    <row r="118" spans="1:17" ht="26.25">
      <c r="A118" s="255" t="s">
        <v>505</v>
      </c>
      <c r="B118" s="261" t="s">
        <v>267</v>
      </c>
      <c r="C118" s="264" t="s">
        <v>187</v>
      </c>
      <c r="D118" s="298" t="s">
        <v>362</v>
      </c>
      <c r="E118" s="263" t="s">
        <v>227</v>
      </c>
      <c r="F118" s="263" t="s">
        <v>228</v>
      </c>
      <c r="G118" s="299" t="s">
        <v>69</v>
      </c>
      <c r="H118" s="154"/>
      <c r="I118" s="63"/>
      <c r="J118" s="63"/>
      <c r="K118" s="85" t="s">
        <v>227</v>
      </c>
      <c r="L118" s="86" t="s">
        <v>227</v>
      </c>
      <c r="M118" s="86" t="s">
        <v>472</v>
      </c>
      <c r="N118" s="86"/>
      <c r="O118" s="87">
        <v>0.01</v>
      </c>
      <c r="P118" s="88" t="b">
        <f>AND(G118=E118,G119=E119)</f>
        <v>0</v>
      </c>
      <c r="Q118" s="308">
        <f>P118*O118</f>
        <v>0</v>
      </c>
    </row>
    <row r="119" spans="1:17" ht="12.75">
      <c r="A119" s="255" t="s">
        <v>506</v>
      </c>
      <c r="B119" s="261" t="s">
        <v>268</v>
      </c>
      <c r="C119" s="264" t="s">
        <v>405</v>
      </c>
      <c r="D119" s="271" t="s">
        <v>284</v>
      </c>
      <c r="E119" s="240" t="s">
        <v>227</v>
      </c>
      <c r="F119" s="240" t="s">
        <v>228</v>
      </c>
      <c r="G119" s="269" t="s">
        <v>69</v>
      </c>
      <c r="H119" s="155"/>
      <c r="K119" s="85" t="s">
        <v>227</v>
      </c>
      <c r="L119" s="86" t="s">
        <v>228</v>
      </c>
      <c r="M119" s="86" t="s">
        <v>472</v>
      </c>
      <c r="N119" s="86"/>
      <c r="O119" s="87">
        <v>0.05</v>
      </c>
      <c r="P119" s="88" t="b">
        <f>AND(G118=E118,G119=F119)</f>
        <v>0</v>
      </c>
      <c r="Q119" s="308">
        <f>P119*O119</f>
        <v>0</v>
      </c>
    </row>
    <row r="120" spans="1:17" ht="12.75">
      <c r="A120" s="255" t="s">
        <v>507</v>
      </c>
      <c r="B120" s="261"/>
      <c r="C120" s="263" t="s">
        <v>466</v>
      </c>
      <c r="D120" s="239"/>
      <c r="E120" s="240" t="s">
        <v>227</v>
      </c>
      <c r="F120" s="240" t="s">
        <v>228</v>
      </c>
      <c r="G120" s="269" t="s">
        <v>70</v>
      </c>
      <c r="H120" s="154"/>
      <c r="K120" s="89" t="s">
        <v>472</v>
      </c>
      <c r="L120" s="90" t="s">
        <v>472</v>
      </c>
      <c r="M120" s="90" t="s">
        <v>227</v>
      </c>
      <c r="N120" s="90"/>
      <c r="O120" s="91">
        <v>0.05</v>
      </c>
      <c r="P120" s="92" t="b">
        <f>(G120=E120)</f>
        <v>1</v>
      </c>
      <c r="Q120" s="309">
        <f>P120*O120</f>
        <v>0.05</v>
      </c>
    </row>
    <row r="121" spans="7:8" ht="12.75" hidden="1">
      <c r="G121" s="160"/>
      <c r="H121" s="154"/>
    </row>
    <row r="122" spans="1:7" ht="12.75" hidden="1">
      <c r="A122" s="167" t="s">
        <v>354</v>
      </c>
      <c r="B122" s="49"/>
      <c r="C122" s="59"/>
      <c r="D122" s="160"/>
      <c r="E122" s="49"/>
      <c r="F122" s="49"/>
      <c r="G122" s="176">
        <f>PRODUCT(H114:H121)</f>
        <v>0.010000000000000002</v>
      </c>
    </row>
    <row r="123" spans="1:7" ht="12.75">
      <c r="A123" s="168" t="s">
        <v>355</v>
      </c>
      <c r="B123" s="161"/>
      <c r="C123" s="162"/>
      <c r="D123" s="163"/>
      <c r="E123" s="161"/>
      <c r="F123" s="161"/>
      <c r="G123" s="169">
        <f>D113*PRODUCT(H116,H117)</f>
        <v>0.5000000000000001</v>
      </c>
    </row>
    <row r="125" spans="1:15" ht="21">
      <c r="A125" s="166" t="s">
        <v>349</v>
      </c>
      <c r="B125" s="163"/>
      <c r="C125" s="185" t="s">
        <v>462</v>
      </c>
      <c r="D125" s="163"/>
      <c r="E125" s="161"/>
      <c r="F125" s="161"/>
      <c r="G125" s="301" t="s">
        <v>353</v>
      </c>
      <c r="H125" s="302"/>
      <c r="K125" s="3"/>
      <c r="L125" s="3"/>
      <c r="M125" s="3"/>
      <c r="N125" s="3"/>
      <c r="O125" s="3"/>
    </row>
    <row r="126" spans="4:5" ht="12.75">
      <c r="D126" s="160"/>
      <c r="E126" s="49"/>
    </row>
    <row r="127" spans="1:10" ht="12.75">
      <c r="A127" s="422" t="s">
        <v>539</v>
      </c>
      <c r="B127" s="422"/>
      <c r="C127" s="422"/>
      <c r="D127" s="170" t="s">
        <v>184</v>
      </c>
      <c r="H127" s="164" t="s">
        <v>186</v>
      </c>
      <c r="I127" s="44"/>
      <c r="J127" s="44"/>
    </row>
    <row r="128" spans="1:8" ht="140.25" customHeight="1">
      <c r="A128" s="97" t="s">
        <v>82</v>
      </c>
      <c r="C128" s="59" t="s">
        <v>113</v>
      </c>
      <c r="D128" s="160">
        <v>50</v>
      </c>
      <c r="E128" s="49"/>
      <c r="G128" s="160"/>
      <c r="H128" s="154"/>
    </row>
    <row r="129" spans="7:8" ht="12.75">
      <c r="G129" s="160"/>
      <c r="H129" s="154"/>
    </row>
    <row r="130" spans="1:15" ht="12.75">
      <c r="A130" s="165" t="s">
        <v>352</v>
      </c>
      <c r="D130" s="170" t="s">
        <v>185</v>
      </c>
      <c r="E130" s="48" t="s">
        <v>225</v>
      </c>
      <c r="G130" s="237" t="s">
        <v>226</v>
      </c>
      <c r="H130" s="155"/>
      <c r="K130" s="3"/>
      <c r="L130" s="3"/>
      <c r="M130" s="3"/>
      <c r="N130" s="3"/>
      <c r="O130" s="3"/>
    </row>
    <row r="131" spans="1:15" ht="26.25">
      <c r="A131" s="277" t="s">
        <v>503</v>
      </c>
      <c r="B131" s="246"/>
      <c r="C131" s="247" t="s">
        <v>156</v>
      </c>
      <c r="D131" s="314">
        <v>0.2</v>
      </c>
      <c r="E131" s="246" t="s">
        <v>70</v>
      </c>
      <c r="F131" s="246" t="s">
        <v>69</v>
      </c>
      <c r="G131" s="269" t="s">
        <v>70</v>
      </c>
      <c r="H131" s="155">
        <f>IF(G131=E131,D131,1)</f>
        <v>0.2</v>
      </c>
      <c r="I131" s="49"/>
      <c r="K131" s="3"/>
      <c r="L131" s="3"/>
      <c r="M131" s="3"/>
      <c r="N131" s="3"/>
      <c r="O131" s="3"/>
    </row>
    <row r="132" spans="1:15" ht="12.75">
      <c r="A132" s="255" t="s">
        <v>508</v>
      </c>
      <c r="B132" s="261"/>
      <c r="C132" s="264" t="s">
        <v>188</v>
      </c>
      <c r="D132" s="300">
        <v>0</v>
      </c>
      <c r="E132" s="246" t="s">
        <v>227</v>
      </c>
      <c r="F132" s="240" t="s">
        <v>228</v>
      </c>
      <c r="G132" s="269" t="s">
        <v>70</v>
      </c>
      <c r="H132" s="155">
        <f>IF(G132=E132,D132,1)</f>
        <v>0</v>
      </c>
      <c r="I132" s="63"/>
      <c r="K132" s="3"/>
      <c r="L132" s="3"/>
      <c r="M132" s="3"/>
      <c r="N132" s="3"/>
      <c r="O132" s="3"/>
    </row>
    <row r="133" spans="1:15" ht="12.75">
      <c r="A133" s="239"/>
      <c r="B133" s="261"/>
      <c r="C133" s="263" t="s">
        <v>464</v>
      </c>
      <c r="D133" s="239"/>
      <c r="E133" s="246"/>
      <c r="F133" s="240"/>
      <c r="G133" s="277"/>
      <c r="H133" s="155">
        <f>IF(G134=E134,D134,IF(G135=E135,D135,100%))</f>
        <v>1</v>
      </c>
      <c r="K133" s="3"/>
      <c r="L133" s="3"/>
      <c r="M133" s="3"/>
      <c r="N133" s="3"/>
      <c r="O133" s="3"/>
    </row>
    <row r="134" spans="1:15" ht="12.75">
      <c r="A134" s="255" t="s">
        <v>509</v>
      </c>
      <c r="B134" s="240" t="s">
        <v>267</v>
      </c>
      <c r="C134" s="241" t="s">
        <v>318</v>
      </c>
      <c r="D134" s="273">
        <v>0.05</v>
      </c>
      <c r="E134" s="246" t="s">
        <v>227</v>
      </c>
      <c r="F134" s="240" t="s">
        <v>228</v>
      </c>
      <c r="G134" s="269" t="s">
        <v>69</v>
      </c>
      <c r="H134" s="155"/>
      <c r="K134" s="3"/>
      <c r="L134" s="3"/>
      <c r="M134" s="3"/>
      <c r="N134" s="3"/>
      <c r="O134" s="3"/>
    </row>
    <row r="135" spans="1:15" ht="12.75">
      <c r="A135" s="255" t="s">
        <v>510</v>
      </c>
      <c r="B135" s="240" t="s">
        <v>268</v>
      </c>
      <c r="C135" s="241" t="s">
        <v>319</v>
      </c>
      <c r="D135" s="273">
        <v>0.33</v>
      </c>
      <c r="E135" s="246" t="s">
        <v>227</v>
      </c>
      <c r="F135" s="240" t="s">
        <v>228</v>
      </c>
      <c r="G135" s="269" t="s">
        <v>69</v>
      </c>
      <c r="H135" s="155"/>
      <c r="K135" s="3"/>
      <c r="L135" s="3"/>
      <c r="M135" s="3"/>
      <c r="N135" s="3"/>
      <c r="O135" s="3"/>
    </row>
    <row r="136" spans="7:8" ht="12.75" hidden="1">
      <c r="G136" s="160"/>
      <c r="H136" s="154"/>
    </row>
    <row r="137" spans="1:7" ht="12.75" hidden="1">
      <c r="A137" s="167" t="s">
        <v>354</v>
      </c>
      <c r="B137" s="49"/>
      <c r="C137" s="59"/>
      <c r="D137" s="160"/>
      <c r="E137" s="49"/>
      <c r="F137" s="49"/>
      <c r="G137" s="176">
        <f>PRODUCT(H129:H136)</f>
        <v>0</v>
      </c>
    </row>
    <row r="138" spans="1:7" ht="12.75">
      <c r="A138" s="168" t="s">
        <v>355</v>
      </c>
      <c r="B138" s="161"/>
      <c r="C138" s="162"/>
      <c r="D138" s="163"/>
      <c r="E138" s="161"/>
      <c r="F138" s="161"/>
      <c r="G138" s="169">
        <f>D128*PRODUCT(H131,H132,H133)</f>
        <v>0</v>
      </c>
    </row>
    <row r="140" spans="1:15" ht="21">
      <c r="A140" s="166" t="s">
        <v>350</v>
      </c>
      <c r="B140" s="163"/>
      <c r="C140" s="184" t="s">
        <v>60</v>
      </c>
      <c r="D140" s="163"/>
      <c r="E140" s="161"/>
      <c r="F140" s="161"/>
      <c r="G140" s="301" t="s">
        <v>353</v>
      </c>
      <c r="H140" s="302"/>
      <c r="K140" s="3"/>
      <c r="L140" s="3"/>
      <c r="M140" s="3"/>
      <c r="N140" s="3"/>
      <c r="O140" s="3"/>
    </row>
    <row r="141" spans="4:5" ht="12.75">
      <c r="D141" s="160"/>
      <c r="E141" s="49"/>
    </row>
    <row r="142" spans="1:10" ht="12.75">
      <c r="A142" s="422" t="s">
        <v>540</v>
      </c>
      <c r="B142" s="422"/>
      <c r="C142" s="422"/>
      <c r="D142" s="170" t="str">
        <f>$D$9</f>
        <v>Kengetal risico</v>
      </c>
      <c r="H142" s="164" t="s">
        <v>186</v>
      </c>
      <c r="I142" s="44"/>
      <c r="J142" s="44"/>
    </row>
    <row r="143" spans="3:8" ht="192" customHeight="1">
      <c r="C143" s="12" t="s">
        <v>189</v>
      </c>
      <c r="D143" s="160">
        <v>500</v>
      </c>
      <c r="E143" s="49"/>
      <c r="G143" s="160"/>
      <c r="H143" s="179"/>
    </row>
    <row r="144" spans="7:8" ht="12.75">
      <c r="G144" s="160"/>
      <c r="H144" s="155"/>
    </row>
    <row r="145" spans="1:15" ht="12.75">
      <c r="A145" s="165" t="s">
        <v>352</v>
      </c>
      <c r="D145" s="170" t="s">
        <v>185</v>
      </c>
      <c r="E145" s="44" t="str">
        <f>$E$12</f>
        <v>Mogelijke antwoorden</v>
      </c>
      <c r="F145" s="44"/>
      <c r="G145" s="237" t="s">
        <v>226</v>
      </c>
      <c r="H145" s="155"/>
      <c r="K145" s="3"/>
      <c r="L145" s="3"/>
      <c r="M145" s="3"/>
      <c r="N145" s="3"/>
      <c r="O145" s="3"/>
    </row>
    <row r="146" spans="1:8" ht="26.25">
      <c r="A146" s="239" t="s">
        <v>512</v>
      </c>
      <c r="B146" s="240"/>
      <c r="C146" s="242" t="s">
        <v>271</v>
      </c>
      <c r="D146" s="315">
        <v>0.5</v>
      </c>
      <c r="E146" s="240" t="s">
        <v>227</v>
      </c>
      <c r="F146" s="240" t="s">
        <v>228</v>
      </c>
      <c r="G146" s="269" t="s">
        <v>227</v>
      </c>
      <c r="H146" s="155">
        <f>IF(G146=E146,D146,1)</f>
        <v>0.5</v>
      </c>
    </row>
    <row r="147" spans="1:15" ht="26.25">
      <c r="A147" s="255" t="s">
        <v>513</v>
      </c>
      <c r="B147" s="240"/>
      <c r="C147" s="242" t="s">
        <v>147</v>
      </c>
      <c r="D147" s="273">
        <v>0.25</v>
      </c>
      <c r="E147" s="240" t="s">
        <v>227</v>
      </c>
      <c r="F147" s="240" t="s">
        <v>228</v>
      </c>
      <c r="G147" s="269" t="s">
        <v>228</v>
      </c>
      <c r="H147" s="155">
        <f>IF(G147=E147,D147,1)</f>
        <v>1</v>
      </c>
      <c r="K147" s="3"/>
      <c r="L147" s="3"/>
      <c r="M147" s="3"/>
      <c r="N147" s="3"/>
      <c r="O147" s="3"/>
    </row>
    <row r="148" spans="1:15" ht="26.25">
      <c r="A148" s="255"/>
      <c r="B148" s="261"/>
      <c r="C148" s="263" t="s">
        <v>61</v>
      </c>
      <c r="D148" s="300"/>
      <c r="E148" s="240"/>
      <c r="F148" s="240"/>
      <c r="G148" s="277"/>
      <c r="H148" s="310">
        <f>AVERAGE(K149,K152)</f>
        <v>0.8</v>
      </c>
      <c r="I148" s="63"/>
      <c r="K148" s="3"/>
      <c r="L148" s="3"/>
      <c r="M148" s="3"/>
      <c r="N148" s="3"/>
      <c r="O148" s="3"/>
    </row>
    <row r="149" spans="1:15" ht="12.75">
      <c r="A149" s="255" t="s">
        <v>514</v>
      </c>
      <c r="B149" s="261" t="s">
        <v>267</v>
      </c>
      <c r="C149" s="263" t="s">
        <v>68</v>
      </c>
      <c r="D149" s="300">
        <v>0.8</v>
      </c>
      <c r="E149" s="246" t="s">
        <v>227</v>
      </c>
      <c r="F149" s="240" t="s">
        <v>228</v>
      </c>
      <c r="G149" s="269" t="s">
        <v>227</v>
      </c>
      <c r="H149" s="154"/>
      <c r="I149" s="63"/>
      <c r="K149" s="304">
        <f>IF(G149=E149,D149,IF(G150=E150,D150,100%))</f>
        <v>0.8</v>
      </c>
      <c r="L149" s="3"/>
      <c r="M149" s="3"/>
      <c r="N149" s="3"/>
      <c r="O149" s="3"/>
    </row>
    <row r="150" spans="1:15" ht="12.75">
      <c r="A150" s="255" t="s">
        <v>515</v>
      </c>
      <c r="B150" s="261" t="s">
        <v>268</v>
      </c>
      <c r="C150" s="263" t="s">
        <v>71</v>
      </c>
      <c r="D150" s="300">
        <v>0.02</v>
      </c>
      <c r="E150" s="246" t="s">
        <v>227</v>
      </c>
      <c r="F150" s="240" t="s">
        <v>228</v>
      </c>
      <c r="G150" s="269" t="s">
        <v>228</v>
      </c>
      <c r="H150" s="155"/>
      <c r="I150" s="63"/>
      <c r="K150" s="311"/>
      <c r="L150" s="3"/>
      <c r="M150" s="3"/>
      <c r="N150" s="3"/>
      <c r="O150" s="3"/>
    </row>
    <row r="151" spans="1:15" ht="12.75">
      <c r="A151" s="239"/>
      <c r="B151" s="240"/>
      <c r="C151" s="241" t="s">
        <v>248</v>
      </c>
      <c r="D151" s="239"/>
      <c r="E151" s="240"/>
      <c r="F151" s="240"/>
      <c r="G151" s="277"/>
      <c r="H151" s="155"/>
      <c r="K151" s="311"/>
      <c r="L151" s="3"/>
      <c r="M151" s="3"/>
      <c r="N151" s="3"/>
      <c r="O151" s="3"/>
    </row>
    <row r="152" spans="1:15" ht="12.75">
      <c r="A152" s="239" t="s">
        <v>516</v>
      </c>
      <c r="B152" s="261" t="s">
        <v>267</v>
      </c>
      <c r="C152" s="263" t="s">
        <v>68</v>
      </c>
      <c r="D152" s="273">
        <v>0.8</v>
      </c>
      <c r="E152" s="246" t="s">
        <v>227</v>
      </c>
      <c r="F152" s="240" t="s">
        <v>228</v>
      </c>
      <c r="G152" s="269" t="s">
        <v>227</v>
      </c>
      <c r="H152" s="155"/>
      <c r="K152" s="311">
        <f>IF(G152=E152,D152,IF(G153=E153,D153,100%))</f>
        <v>0.8</v>
      </c>
      <c r="L152" s="3"/>
      <c r="M152" s="3"/>
      <c r="N152" s="3"/>
      <c r="O152" s="3"/>
    </row>
    <row r="153" spans="1:15" ht="12.75">
      <c r="A153" s="239" t="s">
        <v>517</v>
      </c>
      <c r="B153" s="261" t="s">
        <v>268</v>
      </c>
      <c r="C153" s="263" t="s">
        <v>71</v>
      </c>
      <c r="D153" s="273">
        <v>0.02</v>
      </c>
      <c r="E153" s="246" t="s">
        <v>227</v>
      </c>
      <c r="F153" s="240" t="s">
        <v>228</v>
      </c>
      <c r="G153" s="269" t="s">
        <v>228</v>
      </c>
      <c r="H153" s="155"/>
      <c r="K153" s="305"/>
      <c r="L153" s="3"/>
      <c r="M153" s="3"/>
      <c r="N153" s="3"/>
      <c r="O153" s="3"/>
    </row>
    <row r="154" spans="1:11" ht="12.75">
      <c r="A154" s="239"/>
      <c r="B154" s="240"/>
      <c r="C154" s="241" t="s">
        <v>62</v>
      </c>
      <c r="D154" s="273"/>
      <c r="E154" s="240"/>
      <c r="F154" s="240"/>
      <c r="G154" s="277"/>
      <c r="H154" s="154"/>
      <c r="K154" s="189" t="s">
        <v>288</v>
      </c>
    </row>
    <row r="155" spans="1:17" ht="12.75">
      <c r="A155" s="239"/>
      <c r="B155" s="240"/>
      <c r="C155" s="242" t="s">
        <v>74</v>
      </c>
      <c r="D155" s="273"/>
      <c r="E155" s="240"/>
      <c r="F155" s="240"/>
      <c r="G155" s="277"/>
      <c r="H155" s="155">
        <f>IF(OR(P156:P159),Q155,O155)</f>
        <v>0.02</v>
      </c>
      <c r="K155" s="81" t="str">
        <f>A156</f>
        <v>PM 34</v>
      </c>
      <c r="L155" s="82" t="str">
        <f>A157</f>
        <v>PM 35</v>
      </c>
      <c r="M155" s="82" t="str">
        <f>A158</f>
        <v>PM 36</v>
      </c>
      <c r="N155" s="82"/>
      <c r="O155" s="93">
        <v>1</v>
      </c>
      <c r="P155" s="83"/>
      <c r="Q155" s="84">
        <f>SUM(Q156:Q159)</f>
        <v>0.02</v>
      </c>
    </row>
    <row r="156" spans="1:17" ht="12.75">
      <c r="A156" s="239" t="s">
        <v>518</v>
      </c>
      <c r="B156" s="240" t="s">
        <v>72</v>
      </c>
      <c r="C156" s="242" t="s">
        <v>75</v>
      </c>
      <c r="D156" s="271" t="s">
        <v>362</v>
      </c>
      <c r="E156" s="246" t="s">
        <v>227</v>
      </c>
      <c r="F156" s="240" t="s">
        <v>228</v>
      </c>
      <c r="G156" s="269" t="s">
        <v>227</v>
      </c>
      <c r="H156" s="154"/>
      <c r="K156" s="85" t="s">
        <v>227</v>
      </c>
      <c r="L156" s="86" t="s">
        <v>472</v>
      </c>
      <c r="M156" s="86" t="s">
        <v>227</v>
      </c>
      <c r="N156" s="86"/>
      <c r="O156" s="87">
        <v>0.02</v>
      </c>
      <c r="P156" s="88" t="b">
        <f>AND(G156=E156,G158=E158)</f>
        <v>1</v>
      </c>
      <c r="Q156" s="308">
        <f>P156*O156</f>
        <v>0.02</v>
      </c>
    </row>
    <row r="157" spans="1:17" ht="12.75">
      <c r="A157" s="239" t="s">
        <v>519</v>
      </c>
      <c r="B157" s="240" t="s">
        <v>73</v>
      </c>
      <c r="C157" s="316" t="s">
        <v>76</v>
      </c>
      <c r="D157" s="271" t="s">
        <v>285</v>
      </c>
      <c r="E157" s="246" t="s">
        <v>227</v>
      </c>
      <c r="F157" s="240" t="s">
        <v>228</v>
      </c>
      <c r="G157" s="269" t="s">
        <v>472</v>
      </c>
      <c r="H157" s="154"/>
      <c r="K157" s="85" t="s">
        <v>227</v>
      </c>
      <c r="L157" s="86" t="s">
        <v>472</v>
      </c>
      <c r="M157" s="86" t="s">
        <v>228</v>
      </c>
      <c r="N157" s="86"/>
      <c r="O157" s="87">
        <v>0.25</v>
      </c>
      <c r="P157" s="88" t="b">
        <f>AND(G156=E156,G158=F158)</f>
        <v>0</v>
      </c>
      <c r="Q157" s="308">
        <f>P157*O157</f>
        <v>0</v>
      </c>
    </row>
    <row r="158" spans="1:17" ht="39">
      <c r="A158" s="239" t="s">
        <v>520</v>
      </c>
      <c r="B158" s="240" t="s">
        <v>268</v>
      </c>
      <c r="C158" s="242" t="s">
        <v>63</v>
      </c>
      <c r="D158" s="273"/>
      <c r="E158" s="246" t="s">
        <v>227</v>
      </c>
      <c r="F158" s="240" t="s">
        <v>228</v>
      </c>
      <c r="G158" s="274" t="s">
        <v>227</v>
      </c>
      <c r="H158" s="154"/>
      <c r="K158" s="85" t="s">
        <v>472</v>
      </c>
      <c r="L158" s="86" t="s">
        <v>227</v>
      </c>
      <c r="M158" s="86" t="s">
        <v>227</v>
      </c>
      <c r="N158" s="86"/>
      <c r="O158" s="87">
        <v>0.2</v>
      </c>
      <c r="P158" s="88" t="b">
        <f>AND(G157=E157,G158=E158)</f>
        <v>0</v>
      </c>
      <c r="Q158" s="308">
        <f>P158*O158</f>
        <v>0</v>
      </c>
    </row>
    <row r="159" spans="1:17" ht="12.75">
      <c r="A159" s="240"/>
      <c r="B159" s="240"/>
      <c r="C159" s="240" t="s">
        <v>64</v>
      </c>
      <c r="D159" s="239"/>
      <c r="E159" s="240"/>
      <c r="F159" s="240"/>
      <c r="G159" s="277"/>
      <c r="H159" s="154"/>
      <c r="K159" s="89" t="s">
        <v>472</v>
      </c>
      <c r="L159" s="90" t="s">
        <v>227</v>
      </c>
      <c r="M159" s="90" t="s">
        <v>228</v>
      </c>
      <c r="N159" s="90"/>
      <c r="O159" s="91">
        <v>0.66</v>
      </c>
      <c r="P159" s="92" t="b">
        <f>AND(G157=E157,G158=F158)</f>
        <v>0</v>
      </c>
      <c r="Q159" s="309">
        <f>P159*O159</f>
        <v>0</v>
      </c>
    </row>
    <row r="160" spans="1:15" ht="12.75">
      <c r="A160" s="239"/>
      <c r="B160" s="240"/>
      <c r="C160" s="241" t="s">
        <v>65</v>
      </c>
      <c r="D160" s="239"/>
      <c r="E160" s="240"/>
      <c r="F160" s="240"/>
      <c r="G160" s="277"/>
      <c r="H160" s="154"/>
      <c r="K160" s="3"/>
      <c r="L160" s="3"/>
      <c r="M160" s="3"/>
      <c r="N160" s="3"/>
      <c r="O160" s="47"/>
    </row>
    <row r="161" spans="1:8" ht="12.75">
      <c r="A161" s="239"/>
      <c r="B161" s="240"/>
      <c r="C161" s="241" t="s">
        <v>66</v>
      </c>
      <c r="D161" s="239"/>
      <c r="E161" s="240"/>
      <c r="F161" s="240"/>
      <c r="G161" s="277"/>
      <c r="H161" s="154"/>
    </row>
    <row r="162" spans="1:11" ht="39">
      <c r="A162" s="240"/>
      <c r="B162" s="240"/>
      <c r="C162" s="242" t="s">
        <v>67</v>
      </c>
      <c r="D162" s="239"/>
      <c r="E162" s="240"/>
      <c r="F162" s="240"/>
      <c r="G162" s="277"/>
      <c r="H162" s="154"/>
      <c r="K162" s="189" t="s">
        <v>287</v>
      </c>
    </row>
    <row r="163" spans="1:17" ht="12.75">
      <c r="A163" s="240"/>
      <c r="B163" s="240"/>
      <c r="C163" s="242" t="s">
        <v>112</v>
      </c>
      <c r="D163" s="268"/>
      <c r="E163" s="246"/>
      <c r="F163" s="240"/>
      <c r="G163" s="277"/>
      <c r="H163" s="155">
        <f>IF(OR(P164:P172),Q163,O163)</f>
        <v>0.8</v>
      </c>
      <c r="I163" s="47"/>
      <c r="J163" s="47"/>
      <c r="K163" s="65" t="str">
        <f>A164</f>
        <v>PM 3</v>
      </c>
      <c r="L163" s="66" t="str">
        <f>A165</f>
        <v>PM 4</v>
      </c>
      <c r="M163" s="66" t="str">
        <f>A166</f>
        <v>PM 5</v>
      </c>
      <c r="N163" s="66" t="str">
        <f>A167</f>
        <v>PM 6</v>
      </c>
      <c r="O163" s="80">
        <v>1</v>
      </c>
      <c r="P163" s="67"/>
      <c r="Q163" s="68">
        <f>SUM(Q164:Q172)</f>
        <v>0.8</v>
      </c>
    </row>
    <row r="164" spans="1:17" ht="12.75">
      <c r="A164" s="239" t="s">
        <v>358</v>
      </c>
      <c r="B164" s="320" t="s">
        <v>267</v>
      </c>
      <c r="C164" s="241" t="s">
        <v>217</v>
      </c>
      <c r="D164" s="271" t="s">
        <v>362</v>
      </c>
      <c r="E164" s="246" t="s">
        <v>227</v>
      </c>
      <c r="F164" s="240" t="s">
        <v>228</v>
      </c>
      <c r="G164" s="269" t="s">
        <v>228</v>
      </c>
      <c r="H164" s="154"/>
      <c r="K164" s="69" t="s">
        <v>227</v>
      </c>
      <c r="L164" s="70" t="s">
        <v>227</v>
      </c>
      <c r="M164" s="70" t="s">
        <v>472</v>
      </c>
      <c r="N164" s="70" t="s">
        <v>227</v>
      </c>
      <c r="O164" s="71">
        <v>0.02</v>
      </c>
      <c r="P164" s="72" t="b">
        <f>AND(G164=K164,G165=L164,G167=N164)</f>
        <v>0</v>
      </c>
      <c r="Q164" s="73">
        <f aca="true" t="shared" si="2" ref="Q164:Q172">P164*O164</f>
        <v>0</v>
      </c>
    </row>
    <row r="165" spans="1:17" ht="12.75">
      <c r="A165" s="239" t="s">
        <v>359</v>
      </c>
      <c r="B165" s="240" t="s">
        <v>268</v>
      </c>
      <c r="C165" s="241" t="s">
        <v>500</v>
      </c>
      <c r="D165" s="271" t="s">
        <v>190</v>
      </c>
      <c r="E165" s="246" t="s">
        <v>227</v>
      </c>
      <c r="F165" s="240" t="s">
        <v>228</v>
      </c>
      <c r="G165" s="269" t="s">
        <v>472</v>
      </c>
      <c r="H165" s="155"/>
      <c r="I165" s="47"/>
      <c r="J165" s="47"/>
      <c r="K165" s="69" t="s">
        <v>227</v>
      </c>
      <c r="L165" s="70" t="s">
        <v>227</v>
      </c>
      <c r="M165" s="70" t="s">
        <v>472</v>
      </c>
      <c r="N165" s="70" t="s">
        <v>228</v>
      </c>
      <c r="O165" s="71">
        <v>0.05</v>
      </c>
      <c r="P165" s="72" t="b">
        <f>AND(G164=K165,G165=L165,G167=N165)</f>
        <v>0</v>
      </c>
      <c r="Q165" s="73">
        <f t="shared" si="2"/>
        <v>0</v>
      </c>
    </row>
    <row r="166" spans="1:17" ht="12.75">
      <c r="A166" s="239" t="s">
        <v>360</v>
      </c>
      <c r="B166" s="240" t="s">
        <v>403</v>
      </c>
      <c r="C166" s="241" t="s">
        <v>493</v>
      </c>
      <c r="D166" s="318" t="s">
        <v>191</v>
      </c>
      <c r="E166" s="246" t="s">
        <v>227</v>
      </c>
      <c r="F166" s="240" t="s">
        <v>228</v>
      </c>
      <c r="G166" s="269" t="s">
        <v>227</v>
      </c>
      <c r="H166" s="155"/>
      <c r="I166" s="47"/>
      <c r="J166" s="47"/>
      <c r="K166" s="69" t="s">
        <v>227</v>
      </c>
      <c r="L166" s="70" t="s">
        <v>228</v>
      </c>
      <c r="M166" s="70" t="s">
        <v>472</v>
      </c>
      <c r="N166" s="70" t="s">
        <v>227</v>
      </c>
      <c r="O166" s="71">
        <v>0.5</v>
      </c>
      <c r="P166" s="72" t="b">
        <f>AND(G164=K166,G165=L166,G167=N166)</f>
        <v>0</v>
      </c>
      <c r="Q166" s="73">
        <f t="shared" si="2"/>
        <v>0</v>
      </c>
    </row>
    <row r="167" spans="1:17" ht="12.75">
      <c r="A167" s="239" t="s">
        <v>275</v>
      </c>
      <c r="B167" s="240" t="s">
        <v>404</v>
      </c>
      <c r="C167" s="241" t="s">
        <v>220</v>
      </c>
      <c r="D167" s="268"/>
      <c r="E167" s="246" t="s">
        <v>227</v>
      </c>
      <c r="F167" s="240" t="s">
        <v>228</v>
      </c>
      <c r="G167" s="269" t="s">
        <v>228</v>
      </c>
      <c r="H167" s="155"/>
      <c r="I167" s="47"/>
      <c r="J167" s="47"/>
      <c r="K167" s="69" t="s">
        <v>227</v>
      </c>
      <c r="L167" s="70" t="s">
        <v>228</v>
      </c>
      <c r="M167" s="70" t="s">
        <v>472</v>
      </c>
      <c r="N167" s="70" t="s">
        <v>228</v>
      </c>
      <c r="O167" s="71">
        <v>0.66</v>
      </c>
      <c r="P167" s="72" t="b">
        <f>AND(G164=K167,G165=L167,G167=N167)</f>
        <v>0</v>
      </c>
      <c r="Q167" s="73">
        <f t="shared" si="2"/>
        <v>0</v>
      </c>
    </row>
    <row r="168" spans="1:17" ht="12.75" hidden="1">
      <c r="A168" s="239"/>
      <c r="B168" s="240"/>
      <c r="C168" s="241"/>
      <c r="D168" s="268"/>
      <c r="E168" s="246"/>
      <c r="F168" s="240"/>
      <c r="G168" s="277"/>
      <c r="H168" s="155"/>
      <c r="I168" s="47"/>
      <c r="J168" s="47"/>
      <c r="K168" s="69" t="s">
        <v>227</v>
      </c>
      <c r="L168" s="70" t="s">
        <v>472</v>
      </c>
      <c r="M168" s="70" t="s">
        <v>227</v>
      </c>
      <c r="N168" s="70" t="s">
        <v>227</v>
      </c>
      <c r="O168" s="71">
        <v>0.01</v>
      </c>
      <c r="P168" s="72" t="b">
        <f>AND(G164=K168,G166=M168,G167=N168)</f>
        <v>0</v>
      </c>
      <c r="Q168" s="73">
        <f t="shared" si="2"/>
        <v>0</v>
      </c>
    </row>
    <row r="169" spans="1:17" ht="12.75" hidden="1">
      <c r="A169" s="239"/>
      <c r="B169" s="240"/>
      <c r="C169" s="241"/>
      <c r="D169" s="268"/>
      <c r="E169" s="246"/>
      <c r="F169" s="240"/>
      <c r="G169" s="277"/>
      <c r="H169" s="155"/>
      <c r="I169" s="47"/>
      <c r="J169" s="47"/>
      <c r="K169" s="69" t="s">
        <v>227</v>
      </c>
      <c r="L169" s="70" t="s">
        <v>472</v>
      </c>
      <c r="M169" s="70" t="s">
        <v>227</v>
      </c>
      <c r="N169" s="70" t="s">
        <v>228</v>
      </c>
      <c r="O169" s="71">
        <v>0.02</v>
      </c>
      <c r="P169" s="72" t="b">
        <f>AND(G164=K169,G166=M169,G167=N169)</f>
        <v>0</v>
      </c>
      <c r="Q169" s="73">
        <f t="shared" si="2"/>
        <v>0</v>
      </c>
    </row>
    <row r="170" spans="1:17" ht="12.75" hidden="1">
      <c r="A170" s="239"/>
      <c r="B170" s="240"/>
      <c r="C170" s="241"/>
      <c r="D170" s="268"/>
      <c r="E170" s="246"/>
      <c r="F170" s="240"/>
      <c r="G170" s="277"/>
      <c r="H170" s="155"/>
      <c r="I170" s="47"/>
      <c r="J170" s="47"/>
      <c r="K170" s="69" t="s">
        <v>228</v>
      </c>
      <c r="L170" s="70" t="s">
        <v>227</v>
      </c>
      <c r="M170" s="70" t="s">
        <v>472</v>
      </c>
      <c r="N170" s="70" t="s">
        <v>472</v>
      </c>
      <c r="O170" s="71">
        <v>0.8</v>
      </c>
      <c r="P170" s="72" t="b">
        <f>AND(G164=K170,G165=L170)</f>
        <v>0</v>
      </c>
      <c r="Q170" s="73">
        <f t="shared" si="2"/>
        <v>0</v>
      </c>
    </row>
    <row r="171" spans="1:17" ht="12.75" hidden="1">
      <c r="A171" s="239"/>
      <c r="B171" s="240"/>
      <c r="C171" s="241"/>
      <c r="D171" s="268"/>
      <c r="E171" s="246"/>
      <c r="F171" s="240"/>
      <c r="G171" s="277"/>
      <c r="H171" s="155"/>
      <c r="I171" s="47"/>
      <c r="J171" s="47"/>
      <c r="K171" s="69" t="s">
        <v>228</v>
      </c>
      <c r="L171" s="70" t="s">
        <v>228</v>
      </c>
      <c r="M171" s="70" t="s">
        <v>472</v>
      </c>
      <c r="N171" s="70" t="s">
        <v>472</v>
      </c>
      <c r="O171" s="71">
        <v>1</v>
      </c>
      <c r="P171" s="72" t="b">
        <f>AND(G164=K171,G165=L171)</f>
        <v>0</v>
      </c>
      <c r="Q171" s="73">
        <f t="shared" si="2"/>
        <v>0</v>
      </c>
    </row>
    <row r="172" spans="1:17" ht="12.75" hidden="1">
      <c r="A172" s="239"/>
      <c r="B172" s="240"/>
      <c r="C172" s="241"/>
      <c r="D172" s="268"/>
      <c r="E172" s="246"/>
      <c r="F172" s="240"/>
      <c r="G172" s="277"/>
      <c r="H172" s="155"/>
      <c r="I172" s="47"/>
      <c r="J172" s="47"/>
      <c r="K172" s="74" t="s">
        <v>228</v>
      </c>
      <c r="L172" s="75" t="s">
        <v>472</v>
      </c>
      <c r="M172" s="75" t="s">
        <v>227</v>
      </c>
      <c r="N172" s="75" t="s">
        <v>472</v>
      </c>
      <c r="O172" s="76">
        <v>0.8</v>
      </c>
      <c r="P172" s="77" t="b">
        <f>AND(G164=K172,G166=M172)</f>
        <v>1</v>
      </c>
      <c r="Q172" s="78">
        <f t="shared" si="2"/>
        <v>0.8</v>
      </c>
    </row>
    <row r="173" spans="1:10" ht="26.25">
      <c r="A173" s="239" t="s">
        <v>276</v>
      </c>
      <c r="B173" s="240"/>
      <c r="C173" s="241" t="s">
        <v>77</v>
      </c>
      <c r="D173" s="268">
        <v>0.5</v>
      </c>
      <c r="E173" s="246" t="s">
        <v>227</v>
      </c>
      <c r="F173" s="240" t="s">
        <v>228</v>
      </c>
      <c r="G173" s="269" t="s">
        <v>227</v>
      </c>
      <c r="H173" s="155">
        <f>IF(G173=E173,D173,1)</f>
        <v>0.5</v>
      </c>
      <c r="I173" s="47"/>
      <c r="J173" s="47"/>
    </row>
    <row r="174" spans="1:10" ht="12.75">
      <c r="A174" s="239" t="s">
        <v>277</v>
      </c>
      <c r="B174" s="240"/>
      <c r="C174" s="241" t="s">
        <v>221</v>
      </c>
      <c r="D174" s="268">
        <v>0.5</v>
      </c>
      <c r="E174" s="246" t="s">
        <v>227</v>
      </c>
      <c r="F174" s="240" t="s">
        <v>228</v>
      </c>
      <c r="G174" s="269" t="s">
        <v>227</v>
      </c>
      <c r="H174" s="155">
        <f>IF(G174=E174,D174,1)</f>
        <v>0.5</v>
      </c>
      <c r="I174" s="47"/>
      <c r="J174" s="47"/>
    </row>
    <row r="175" spans="7:8" ht="12.75" hidden="1">
      <c r="G175" s="160"/>
      <c r="H175" s="154"/>
    </row>
    <row r="176" spans="1:7" ht="12.75" hidden="1">
      <c r="A176" s="167" t="s">
        <v>354</v>
      </c>
      <c r="B176" s="49"/>
      <c r="C176" s="59"/>
      <c r="D176" s="160"/>
      <c r="E176" s="49"/>
      <c r="F176" s="49"/>
      <c r="G176" s="176">
        <f>PRODUCT(H147:H174)</f>
        <v>0.0032</v>
      </c>
    </row>
    <row r="177" spans="1:7" ht="12.75">
      <c r="A177" s="168" t="s">
        <v>355</v>
      </c>
      <c r="B177" s="161"/>
      <c r="C177" s="162"/>
      <c r="D177" s="163"/>
      <c r="E177" s="161"/>
      <c r="F177" s="161"/>
      <c r="G177" s="169">
        <f>D143*PRODUCT(H146,H147,H148,H155,H163,H173,H174)</f>
        <v>0.8</v>
      </c>
    </row>
    <row r="179" spans="1:15" ht="21">
      <c r="A179" s="166" t="s">
        <v>351</v>
      </c>
      <c r="B179" s="163"/>
      <c r="C179" s="184" t="s">
        <v>84</v>
      </c>
      <c r="D179" s="163"/>
      <c r="E179" s="161"/>
      <c r="F179" s="161"/>
      <c r="G179" s="301" t="s">
        <v>353</v>
      </c>
      <c r="H179" s="302"/>
      <c r="K179" s="3"/>
      <c r="L179" s="3"/>
      <c r="M179" s="3"/>
      <c r="N179" s="3"/>
      <c r="O179" s="3"/>
    </row>
    <row r="180" spans="4:5" ht="12.75">
      <c r="D180" s="160"/>
      <c r="E180" s="49"/>
    </row>
    <row r="181" spans="1:10" ht="12.75">
      <c r="A181" s="422" t="s">
        <v>541</v>
      </c>
      <c r="B181" s="422"/>
      <c r="C181" s="422"/>
      <c r="D181" s="170" t="str">
        <f>$D$9</f>
        <v>Kengetal risico</v>
      </c>
      <c r="F181" s="44"/>
      <c r="G181" s="312"/>
      <c r="H181" s="312"/>
      <c r="I181" s="44"/>
      <c r="J181" s="44"/>
    </row>
    <row r="182" spans="3:8" ht="144" customHeight="1">
      <c r="C182" s="59" t="s">
        <v>81</v>
      </c>
      <c r="D182" s="160">
        <v>100</v>
      </c>
      <c r="E182" s="49"/>
      <c r="H182" s="3"/>
    </row>
    <row r="183" spans="1:15" ht="12.75">
      <c r="A183" s="165" t="s">
        <v>352</v>
      </c>
      <c r="D183" s="170" t="s">
        <v>185</v>
      </c>
      <c r="E183" s="44" t="str">
        <f>$E$12</f>
        <v>Mogelijke antwoorden</v>
      </c>
      <c r="G183" s="237" t="s">
        <v>226</v>
      </c>
      <c r="H183" s="164" t="s">
        <v>186</v>
      </c>
      <c r="K183" s="3"/>
      <c r="L183" s="3"/>
      <c r="M183" s="3"/>
      <c r="N183" s="3"/>
      <c r="O183" s="3"/>
    </row>
    <row r="184" spans="1:8" s="61" customFormat="1" ht="26.25">
      <c r="A184" s="287" t="str">
        <f>A147</f>
        <v>PM 29</v>
      </c>
      <c r="B184" s="280"/>
      <c r="C184" s="280" t="s">
        <v>147</v>
      </c>
      <c r="D184" s="278"/>
      <c r="E184" s="279"/>
      <c r="F184" s="279"/>
      <c r="G184" s="282"/>
      <c r="H184" s="180">
        <f>H147</f>
        <v>1</v>
      </c>
    </row>
    <row r="185" spans="1:8" s="61" customFormat="1" ht="26.25">
      <c r="A185" s="287"/>
      <c r="B185" s="280"/>
      <c r="C185" s="280" t="s">
        <v>61</v>
      </c>
      <c r="D185" s="278"/>
      <c r="E185" s="279"/>
      <c r="F185" s="279"/>
      <c r="G185" s="282"/>
      <c r="H185" s="180">
        <f>H148</f>
        <v>0.8</v>
      </c>
    </row>
    <row r="186" spans="1:8" s="61" customFormat="1" ht="12.75">
      <c r="A186" s="287" t="str">
        <f>A149</f>
        <v>PM 30</v>
      </c>
      <c r="B186" s="280" t="str">
        <f>B149</f>
        <v>a</v>
      </c>
      <c r="C186" s="280" t="s">
        <v>68</v>
      </c>
      <c r="D186" s="278"/>
      <c r="E186" s="279"/>
      <c r="F186" s="279"/>
      <c r="G186" s="282"/>
      <c r="H186" s="180"/>
    </row>
    <row r="187" spans="1:8" s="61" customFormat="1" ht="12.75">
      <c r="A187" s="287" t="str">
        <f>A150</f>
        <v>PM 31</v>
      </c>
      <c r="B187" s="280" t="str">
        <f>B150</f>
        <v>b</v>
      </c>
      <c r="C187" s="280" t="s">
        <v>71</v>
      </c>
      <c r="D187" s="278"/>
      <c r="E187" s="279"/>
      <c r="F187" s="279"/>
      <c r="G187" s="282"/>
      <c r="H187" s="180"/>
    </row>
    <row r="188" spans="1:8" s="61" customFormat="1" ht="12.75">
      <c r="A188" s="287"/>
      <c r="B188" s="280"/>
      <c r="C188" s="280" t="s">
        <v>248</v>
      </c>
      <c r="D188" s="278"/>
      <c r="E188" s="279"/>
      <c r="F188" s="279"/>
      <c r="G188" s="282"/>
      <c r="H188" s="180"/>
    </row>
    <row r="189" spans="1:8" s="61" customFormat="1" ht="12.75">
      <c r="A189" s="278" t="str">
        <f>A152</f>
        <v>PM 32</v>
      </c>
      <c r="B189" s="280" t="str">
        <f>B152</f>
        <v>a</v>
      </c>
      <c r="C189" s="280" t="s">
        <v>68</v>
      </c>
      <c r="D189" s="278"/>
      <c r="E189" s="279"/>
      <c r="F189" s="279"/>
      <c r="G189" s="282"/>
      <c r="H189" s="180"/>
    </row>
    <row r="190" spans="1:8" s="61" customFormat="1" ht="12.75">
      <c r="A190" s="287" t="str">
        <f>A153</f>
        <v>PM 33</v>
      </c>
      <c r="B190" s="280" t="str">
        <f>B153</f>
        <v>b</v>
      </c>
      <c r="C190" s="280" t="s">
        <v>71</v>
      </c>
      <c r="D190" s="278"/>
      <c r="E190" s="279"/>
      <c r="F190" s="279"/>
      <c r="G190" s="282"/>
      <c r="H190" s="180"/>
    </row>
    <row r="191" spans="1:8" ht="26.25">
      <c r="A191" s="239" t="s">
        <v>521</v>
      </c>
      <c r="B191" s="240"/>
      <c r="C191" s="241" t="s">
        <v>148</v>
      </c>
      <c r="D191" s="273">
        <v>0.2</v>
      </c>
      <c r="E191" s="240" t="s">
        <v>227</v>
      </c>
      <c r="F191" s="240" t="s">
        <v>228</v>
      </c>
      <c r="G191" s="269" t="s">
        <v>227</v>
      </c>
      <c r="H191" s="310">
        <f>IF(G191=E191,D191,100%)</f>
        <v>0.2</v>
      </c>
    </row>
    <row r="192" spans="1:11" ht="26.25">
      <c r="A192" s="239" t="s">
        <v>522</v>
      </c>
      <c r="B192" s="240"/>
      <c r="C192" s="241" t="s">
        <v>57</v>
      </c>
      <c r="D192" s="273">
        <v>0.5</v>
      </c>
      <c r="E192" s="240" t="s">
        <v>227</v>
      </c>
      <c r="F192" s="240" t="s">
        <v>228</v>
      </c>
      <c r="G192" s="269" t="s">
        <v>227</v>
      </c>
      <c r="H192" s="310">
        <f>IF(G192=E192,D192,100%)</f>
        <v>0.5</v>
      </c>
      <c r="K192" s="189" t="s">
        <v>286</v>
      </c>
    </row>
    <row r="193" spans="1:8" ht="26.25">
      <c r="A193" s="239" t="s">
        <v>276</v>
      </c>
      <c r="B193" s="240"/>
      <c r="C193" s="241" t="s">
        <v>169</v>
      </c>
      <c r="D193" s="273">
        <v>0.5</v>
      </c>
      <c r="E193" s="240" t="s">
        <v>227</v>
      </c>
      <c r="F193" s="240" t="s">
        <v>228</v>
      </c>
      <c r="G193" s="269" t="s">
        <v>227</v>
      </c>
      <c r="H193" s="310">
        <f>IF(G193=E193,D193,100%)</f>
        <v>0.5</v>
      </c>
    </row>
    <row r="194" spans="1:17" ht="12.75">
      <c r="A194" s="239"/>
      <c r="B194" s="240"/>
      <c r="C194" s="242" t="s">
        <v>78</v>
      </c>
      <c r="D194" s="268"/>
      <c r="E194" s="246"/>
      <c r="F194" s="240"/>
      <c r="G194" s="277"/>
      <c r="H194" s="155">
        <f>IF(OR(P195:P203),Q194,O194)</f>
        <v>0.8</v>
      </c>
      <c r="I194" s="47"/>
      <c r="J194" s="47"/>
      <c r="K194" s="65" t="str">
        <f>A195</f>
        <v>PM 3</v>
      </c>
      <c r="L194" s="66" t="str">
        <f>A196</f>
        <v>PM 4</v>
      </c>
      <c r="M194" s="66" t="str">
        <f>A197</f>
        <v>PM 5</v>
      </c>
      <c r="N194" s="66" t="str">
        <f>A198</f>
        <v>PM 6</v>
      </c>
      <c r="O194" s="80">
        <v>1</v>
      </c>
      <c r="P194" s="67"/>
      <c r="Q194" s="68">
        <f>SUM(Q195:Q203)</f>
        <v>0.8</v>
      </c>
    </row>
    <row r="195" spans="1:17" ht="12.75">
      <c r="A195" s="239" t="s">
        <v>358</v>
      </c>
      <c r="B195" s="270">
        <v>1</v>
      </c>
      <c r="C195" s="241" t="s">
        <v>217</v>
      </c>
      <c r="D195" s="271" t="s">
        <v>362</v>
      </c>
      <c r="E195" s="246" t="s">
        <v>227</v>
      </c>
      <c r="F195" s="240" t="s">
        <v>228</v>
      </c>
      <c r="G195" s="269" t="s">
        <v>228</v>
      </c>
      <c r="H195" s="154"/>
      <c r="K195" s="69" t="s">
        <v>227</v>
      </c>
      <c r="L195" s="70" t="s">
        <v>227</v>
      </c>
      <c r="M195" s="70" t="s">
        <v>472</v>
      </c>
      <c r="N195" s="70" t="s">
        <v>227</v>
      </c>
      <c r="O195" s="71">
        <v>0.02</v>
      </c>
      <c r="P195" s="72" t="b">
        <f>AND(G195=K195,G196=L195,G198=N195)</f>
        <v>0</v>
      </c>
      <c r="Q195" s="73">
        <f aca="true" t="shared" si="3" ref="Q195:Q203">P195*O195</f>
        <v>0</v>
      </c>
    </row>
    <row r="196" spans="1:17" ht="12.75">
      <c r="A196" s="239" t="s">
        <v>359</v>
      </c>
      <c r="B196" s="240">
        <v>2</v>
      </c>
      <c r="C196" s="241" t="s">
        <v>500</v>
      </c>
      <c r="D196" s="271" t="s">
        <v>192</v>
      </c>
      <c r="E196" s="246" t="s">
        <v>227</v>
      </c>
      <c r="F196" s="240" t="s">
        <v>228</v>
      </c>
      <c r="G196" s="276" t="s">
        <v>472</v>
      </c>
      <c r="H196" s="155"/>
      <c r="I196" s="47"/>
      <c r="J196" s="47"/>
      <c r="K196" s="69" t="s">
        <v>227</v>
      </c>
      <c r="L196" s="70" t="s">
        <v>227</v>
      </c>
      <c r="M196" s="70" t="s">
        <v>472</v>
      </c>
      <c r="N196" s="70" t="s">
        <v>228</v>
      </c>
      <c r="O196" s="71">
        <v>0.05</v>
      </c>
      <c r="P196" s="72" t="b">
        <f>AND(G195=K196,G196=L196,G198=N196)</f>
        <v>0</v>
      </c>
      <c r="Q196" s="73">
        <f t="shared" si="3"/>
        <v>0</v>
      </c>
    </row>
    <row r="197" spans="1:17" ht="12.75">
      <c r="A197" s="239" t="s">
        <v>360</v>
      </c>
      <c r="B197" s="240">
        <v>3</v>
      </c>
      <c r="C197" s="241" t="s">
        <v>493</v>
      </c>
      <c r="D197" s="268"/>
      <c r="E197" s="246" t="s">
        <v>227</v>
      </c>
      <c r="F197" s="240" t="s">
        <v>228</v>
      </c>
      <c r="G197" s="269" t="s">
        <v>227</v>
      </c>
      <c r="H197" s="155"/>
      <c r="I197" s="47"/>
      <c r="J197" s="47"/>
      <c r="K197" s="69" t="s">
        <v>227</v>
      </c>
      <c r="L197" s="70" t="s">
        <v>228</v>
      </c>
      <c r="M197" s="70" t="s">
        <v>472</v>
      </c>
      <c r="N197" s="70" t="s">
        <v>227</v>
      </c>
      <c r="O197" s="71">
        <v>0.5</v>
      </c>
      <c r="P197" s="72" t="b">
        <f>AND(G195=K197,G196=L197,G198=N197)</f>
        <v>0</v>
      </c>
      <c r="Q197" s="73">
        <f t="shared" si="3"/>
        <v>0</v>
      </c>
    </row>
    <row r="198" spans="1:17" ht="12.75">
      <c r="A198" s="239" t="s">
        <v>275</v>
      </c>
      <c r="B198" s="240">
        <v>4</v>
      </c>
      <c r="C198" s="241" t="s">
        <v>220</v>
      </c>
      <c r="D198" s="268"/>
      <c r="E198" s="246" t="s">
        <v>227</v>
      </c>
      <c r="F198" s="240" t="s">
        <v>228</v>
      </c>
      <c r="G198" s="269" t="s">
        <v>228</v>
      </c>
      <c r="H198" s="155"/>
      <c r="I198" s="47"/>
      <c r="J198" s="47"/>
      <c r="K198" s="69" t="s">
        <v>227</v>
      </c>
      <c r="L198" s="70" t="s">
        <v>228</v>
      </c>
      <c r="M198" s="70" t="s">
        <v>472</v>
      </c>
      <c r="N198" s="70" t="s">
        <v>228</v>
      </c>
      <c r="O198" s="71">
        <v>0.66</v>
      </c>
      <c r="P198" s="72" t="b">
        <f>AND(G195=K198,G196=L198,G198=N198)</f>
        <v>0</v>
      </c>
      <c r="Q198" s="73">
        <f t="shared" si="3"/>
        <v>0</v>
      </c>
    </row>
    <row r="199" spans="1:17" ht="12.75" hidden="1">
      <c r="A199" s="239"/>
      <c r="B199" s="240"/>
      <c r="C199" s="240"/>
      <c r="D199" s="239"/>
      <c r="E199" s="240"/>
      <c r="F199" s="240"/>
      <c r="G199" s="277"/>
      <c r="H199" s="154"/>
      <c r="I199" s="47"/>
      <c r="J199" s="47"/>
      <c r="K199" s="69" t="s">
        <v>227</v>
      </c>
      <c r="L199" s="70" t="s">
        <v>472</v>
      </c>
      <c r="M199" s="70" t="s">
        <v>227</v>
      </c>
      <c r="N199" s="70" t="s">
        <v>227</v>
      </c>
      <c r="O199" s="71">
        <v>0.01</v>
      </c>
      <c r="P199" s="72" t="b">
        <f>AND(G195=K199,G197=M199,G198=N199)</f>
        <v>0</v>
      </c>
      <c r="Q199" s="73">
        <f t="shared" si="3"/>
        <v>0</v>
      </c>
    </row>
    <row r="200" spans="1:17" ht="12.75" hidden="1">
      <c r="A200" s="239"/>
      <c r="B200" s="240"/>
      <c r="C200" s="241"/>
      <c r="D200" s="268"/>
      <c r="E200" s="246"/>
      <c r="F200" s="240"/>
      <c r="G200" s="277"/>
      <c r="H200" s="155"/>
      <c r="I200" s="47"/>
      <c r="J200" s="47"/>
      <c r="K200" s="69" t="s">
        <v>227</v>
      </c>
      <c r="L200" s="70" t="s">
        <v>472</v>
      </c>
      <c r="M200" s="70" t="s">
        <v>227</v>
      </c>
      <c r="N200" s="70" t="s">
        <v>228</v>
      </c>
      <c r="O200" s="71">
        <v>0.02</v>
      </c>
      <c r="P200" s="72" t="b">
        <f>AND(G195=K200,G197=M200,G198=N200)</f>
        <v>0</v>
      </c>
      <c r="Q200" s="73">
        <f t="shared" si="3"/>
        <v>0</v>
      </c>
    </row>
    <row r="201" spans="1:17" ht="12.75" hidden="1">
      <c r="A201" s="239"/>
      <c r="B201" s="240"/>
      <c r="C201" s="241"/>
      <c r="D201" s="268"/>
      <c r="E201" s="246"/>
      <c r="F201" s="240"/>
      <c r="G201" s="277"/>
      <c r="H201" s="155"/>
      <c r="I201" s="47"/>
      <c r="J201" s="47"/>
      <c r="K201" s="69" t="s">
        <v>228</v>
      </c>
      <c r="L201" s="70" t="s">
        <v>227</v>
      </c>
      <c r="M201" s="70" t="s">
        <v>472</v>
      </c>
      <c r="N201" s="70" t="s">
        <v>472</v>
      </c>
      <c r="O201" s="71">
        <v>0.8</v>
      </c>
      <c r="P201" s="72" t="b">
        <f>AND(G195=K201,G196=L201)</f>
        <v>0</v>
      </c>
      <c r="Q201" s="73">
        <f t="shared" si="3"/>
        <v>0</v>
      </c>
    </row>
    <row r="202" spans="1:17" ht="12.75" hidden="1">
      <c r="A202" s="239"/>
      <c r="B202" s="240"/>
      <c r="C202" s="241"/>
      <c r="D202" s="268"/>
      <c r="E202" s="246"/>
      <c r="F202" s="240"/>
      <c r="G202" s="277"/>
      <c r="H202" s="155"/>
      <c r="I202" s="47"/>
      <c r="J202" s="47"/>
      <c r="K202" s="69" t="s">
        <v>228</v>
      </c>
      <c r="L202" s="70" t="s">
        <v>228</v>
      </c>
      <c r="M202" s="70" t="s">
        <v>472</v>
      </c>
      <c r="N202" s="70" t="s">
        <v>472</v>
      </c>
      <c r="O202" s="71">
        <v>1</v>
      </c>
      <c r="P202" s="72" t="b">
        <f>AND(G195=K202,G196=L202)</f>
        <v>0</v>
      </c>
      <c r="Q202" s="73">
        <f t="shared" si="3"/>
        <v>0</v>
      </c>
    </row>
    <row r="203" spans="1:17" ht="12.75" hidden="1">
      <c r="A203" s="239"/>
      <c r="B203" s="240"/>
      <c r="C203" s="241"/>
      <c r="D203" s="268"/>
      <c r="E203" s="246"/>
      <c r="F203" s="240"/>
      <c r="G203" s="277"/>
      <c r="H203" s="155"/>
      <c r="I203" s="47"/>
      <c r="J203" s="47"/>
      <c r="K203" s="74" t="s">
        <v>228</v>
      </c>
      <c r="L203" s="75" t="s">
        <v>472</v>
      </c>
      <c r="M203" s="75" t="s">
        <v>227</v>
      </c>
      <c r="N203" s="75" t="s">
        <v>472</v>
      </c>
      <c r="O203" s="76">
        <v>0.8</v>
      </c>
      <c r="P203" s="77" t="b">
        <f>AND(G195=K203,G197=M203)</f>
        <v>1</v>
      </c>
      <c r="Q203" s="78">
        <f t="shared" si="3"/>
        <v>0.8</v>
      </c>
    </row>
    <row r="204" spans="1:8" ht="26.25">
      <c r="A204" s="239" t="s">
        <v>523</v>
      </c>
      <c r="B204" s="240"/>
      <c r="C204" s="241" t="s">
        <v>96</v>
      </c>
      <c r="D204" s="268">
        <v>0.2</v>
      </c>
      <c r="E204" s="246" t="s">
        <v>227</v>
      </c>
      <c r="F204" s="240" t="s">
        <v>228</v>
      </c>
      <c r="G204" s="269" t="s">
        <v>227</v>
      </c>
      <c r="H204" s="310">
        <f>IF(G204=E204,D204,100%)</f>
        <v>0.2</v>
      </c>
    </row>
    <row r="205" spans="7:8" ht="12.75" hidden="1">
      <c r="G205" s="160"/>
      <c r="H205" s="154"/>
    </row>
    <row r="206" spans="1:7" ht="12.75" hidden="1">
      <c r="A206" s="167" t="s">
        <v>354</v>
      </c>
      <c r="B206" s="49"/>
      <c r="C206" s="59"/>
      <c r="D206" s="160"/>
      <c r="E206" s="49"/>
      <c r="F206" s="49"/>
      <c r="G206" s="176">
        <f>PRODUCT(H184:H205)</f>
        <v>0.006400000000000002</v>
      </c>
    </row>
    <row r="207" spans="1:7" ht="12.75">
      <c r="A207" s="168" t="s">
        <v>355</v>
      </c>
      <c r="B207" s="161"/>
      <c r="C207" s="162"/>
      <c r="D207" s="163"/>
      <c r="E207" s="161"/>
      <c r="F207" s="161"/>
      <c r="G207" s="169">
        <f>D182*PRODUCT(H184,H185,H191,H192,H193,H194,H204)</f>
        <v>0.6400000000000002</v>
      </c>
    </row>
    <row r="210" ht="12.75">
      <c r="J210" s="188"/>
    </row>
  </sheetData>
  <sheetProtection/>
  <mergeCells count="10">
    <mergeCell ref="A5:G5"/>
    <mergeCell ref="A33:C33"/>
    <mergeCell ref="A9:C9"/>
    <mergeCell ref="A62:C62"/>
    <mergeCell ref="A142:C142"/>
    <mergeCell ref="A181:C181"/>
    <mergeCell ref="A76:C76"/>
    <mergeCell ref="A95:C95"/>
    <mergeCell ref="A112:C112"/>
    <mergeCell ref="A127:C127"/>
  </mergeCells>
  <printOptions horizontalCentered="1"/>
  <pageMargins left="0.7874015748031497" right="0.7874015748031497" top="0.984251968503937" bottom="0.5905511811023623" header="0.5118110236220472" footer="0.5118110236220472"/>
  <pageSetup fitToHeight="5" horizontalDpi="600" verticalDpi="600" orientation="landscape" paperSize="9" scale="66" r:id="rId2"/>
  <headerFooter alignWithMargins="0">
    <oddHeader>&amp;RBijlage 5-2: Praktijkvoorbeeld van de risicoanalyse 'preventie' voor een bedrijf uit de droogkuissector</oddHeader>
    <oddFooter>&amp;CPagina &amp;P&amp;R&amp;A</oddFooter>
  </headerFooter>
  <rowBreaks count="8" manualBreakCount="8">
    <brk id="30" max="8" man="1"/>
    <brk id="61" max="8" man="1"/>
    <brk id="75" max="8" man="1"/>
    <brk id="94" max="8" man="1"/>
    <brk id="109" max="8" man="1"/>
    <brk id="124" max="8" man="1"/>
    <brk id="139" max="8" man="1"/>
    <brk id="178" max="8" man="1"/>
  </rowBreaks>
  <drawing r:id="rId1"/>
</worksheet>
</file>

<file path=xl/worksheets/sheet24.xml><?xml version="1.0" encoding="utf-8"?>
<worksheet xmlns="http://schemas.openxmlformats.org/spreadsheetml/2006/main" xmlns:r="http://schemas.openxmlformats.org/officeDocument/2006/relationships">
  <dimension ref="A1:R205"/>
  <sheetViews>
    <sheetView view="pageBreakPreview" zoomScale="85" zoomScaleSheetLayoutView="85" zoomScalePageLayoutView="0" workbookViewId="0" topLeftCell="A150">
      <selection activeCell="A177" sqref="A177"/>
    </sheetView>
  </sheetViews>
  <sheetFormatPr defaultColWidth="5.28125" defaultRowHeight="12.75"/>
  <cols>
    <col min="1" max="1" width="10.28125" style="3" customWidth="1"/>
    <col min="2" max="2" width="3.00390625" style="3" customWidth="1"/>
    <col min="3" max="3" width="64.140625" style="5" customWidth="1"/>
    <col min="4" max="4" width="17.00390625" style="55" customWidth="1"/>
    <col min="5" max="6" width="9.28125" style="3" customWidth="1"/>
    <col min="7" max="7" width="12.140625" style="55" customWidth="1"/>
    <col min="8" max="8" width="13.140625" style="55" customWidth="1"/>
    <col min="9" max="9" width="6.00390625" style="3" hidden="1" customWidth="1"/>
    <col min="10" max="10" width="9.28125" style="3" customWidth="1"/>
    <col min="11" max="12" width="6.421875" style="55" hidden="1" customWidth="1"/>
    <col min="13" max="13" width="6.00390625" style="55" hidden="1" customWidth="1"/>
    <col min="14" max="14" width="5.421875" style="55" hidden="1" customWidth="1"/>
    <col min="15" max="15" width="6.140625" style="55" hidden="1" customWidth="1"/>
    <col min="16" max="16" width="11.8515625" style="3" hidden="1" customWidth="1"/>
    <col min="17" max="17" width="11.00390625" style="3" hidden="1" customWidth="1"/>
    <col min="18" max="16384" width="5.28125" style="3" customWidth="1"/>
  </cols>
  <sheetData>
    <row r="1" spans="1:8" s="100" customFormat="1" ht="24">
      <c r="A1" s="1" t="s">
        <v>149</v>
      </c>
      <c r="B1" s="98"/>
      <c r="C1" s="99"/>
      <c r="D1" s="98"/>
      <c r="G1" s="98"/>
      <c r="H1" s="98"/>
    </row>
    <row r="2" ht="12.75">
      <c r="C2" s="3"/>
    </row>
    <row r="3" spans="1:3" ht="12.75">
      <c r="A3" s="3" t="s">
        <v>193</v>
      </c>
      <c r="C3" s="3"/>
    </row>
    <row r="4" ht="12.75">
      <c r="C4" s="3" t="s">
        <v>194</v>
      </c>
    </row>
    <row r="5" ht="12.75">
      <c r="C5" s="3" t="s">
        <v>195</v>
      </c>
    </row>
    <row r="6" ht="12.75">
      <c r="C6" s="3" t="s">
        <v>196</v>
      </c>
    </row>
    <row r="8" spans="1:7" ht="12.75">
      <c r="A8" s="437" t="s">
        <v>408</v>
      </c>
      <c r="B8" s="437"/>
      <c r="C8" s="437"/>
      <c r="D8" s="437"/>
      <c r="E8" s="437"/>
      <c r="F8" s="437"/>
      <c r="G8" s="437"/>
    </row>
    <row r="10" spans="1:8" ht="21">
      <c r="A10" s="166" t="s">
        <v>346</v>
      </c>
      <c r="B10" s="161"/>
      <c r="C10" s="166" t="s">
        <v>212</v>
      </c>
      <c r="D10" s="163"/>
      <c r="E10" s="161"/>
      <c r="F10" s="161"/>
      <c r="G10" s="301" t="s">
        <v>353</v>
      </c>
      <c r="H10" s="302"/>
    </row>
    <row r="11" spans="7:8" ht="12.75">
      <c r="G11" s="160"/>
      <c r="H11" s="160"/>
    </row>
    <row r="12" spans="1:10" ht="12.75">
      <c r="A12" s="422" t="s">
        <v>533</v>
      </c>
      <c r="B12" s="422"/>
      <c r="C12" s="422"/>
      <c r="D12" s="170" t="s">
        <v>184</v>
      </c>
      <c r="G12" s="160"/>
      <c r="H12" s="154"/>
      <c r="I12" s="44"/>
      <c r="J12" s="44"/>
    </row>
    <row r="13" spans="3:11" ht="26.25">
      <c r="C13" s="59" t="s">
        <v>378</v>
      </c>
      <c r="D13" s="55">
        <v>10</v>
      </c>
      <c r="G13" s="160"/>
      <c r="H13" s="154"/>
      <c r="K13" s="56"/>
    </row>
    <row r="14" spans="1:8" ht="12.75">
      <c r="A14" s="165" t="s">
        <v>352</v>
      </c>
      <c r="D14" s="170" t="s">
        <v>185</v>
      </c>
      <c r="E14" s="48" t="s">
        <v>225</v>
      </c>
      <c r="G14" s="237" t="s">
        <v>226</v>
      </c>
      <c r="H14" s="164" t="s">
        <v>186</v>
      </c>
    </row>
    <row r="15" spans="1:11" ht="26.25">
      <c r="A15" s="239" t="s">
        <v>356</v>
      </c>
      <c r="B15" s="240"/>
      <c r="C15" s="241" t="s">
        <v>229</v>
      </c>
      <c r="D15" s="268">
        <v>0.5</v>
      </c>
      <c r="E15" s="246" t="s">
        <v>227</v>
      </c>
      <c r="F15" s="240" t="s">
        <v>228</v>
      </c>
      <c r="G15" s="319" t="s">
        <v>227</v>
      </c>
      <c r="H15" s="155">
        <f>IF(G15=E15,D15,1)</f>
        <v>0.5</v>
      </c>
      <c r="I15" s="47"/>
      <c r="J15" s="47"/>
      <c r="K15" s="190" t="s">
        <v>292</v>
      </c>
    </row>
    <row r="16" spans="1:11" ht="26.25">
      <c r="A16" s="239" t="s">
        <v>357</v>
      </c>
      <c r="B16" s="240"/>
      <c r="C16" s="241" t="s">
        <v>224</v>
      </c>
      <c r="D16" s="268">
        <v>0.33</v>
      </c>
      <c r="E16" s="246" t="s">
        <v>227</v>
      </c>
      <c r="F16" s="240" t="s">
        <v>228</v>
      </c>
      <c r="G16" s="269" t="s">
        <v>227</v>
      </c>
      <c r="H16" s="155">
        <f>IF(G16=E16,D16,1)</f>
        <v>0.33</v>
      </c>
      <c r="I16" s="47"/>
      <c r="J16" s="47"/>
      <c r="K16" s="195"/>
    </row>
    <row r="17" spans="1:17" ht="12.75">
      <c r="A17" s="239"/>
      <c r="B17" s="240"/>
      <c r="C17" s="242" t="s">
        <v>112</v>
      </c>
      <c r="D17" s="268"/>
      <c r="E17" s="246"/>
      <c r="F17" s="240"/>
      <c r="G17" s="277"/>
      <c r="H17" s="156">
        <f>IF(OR(P18:P26),Q17,O17)</f>
        <v>0.8</v>
      </c>
      <c r="I17" s="47"/>
      <c r="J17" s="47"/>
      <c r="K17" s="65" t="str">
        <f>A18</f>
        <v>PM 3</v>
      </c>
      <c r="L17" s="66" t="str">
        <f>A19</f>
        <v>PM 4</v>
      </c>
      <c r="M17" s="66" t="str">
        <f>A20</f>
        <v>PM 5</v>
      </c>
      <c r="N17" s="66" t="str">
        <f>A21</f>
        <v>PM 6</v>
      </c>
      <c r="O17" s="80">
        <v>1</v>
      </c>
      <c r="P17" s="67"/>
      <c r="Q17" s="68">
        <f>SUM(Q18:Q26)</f>
        <v>0.8</v>
      </c>
    </row>
    <row r="18" spans="1:17" ht="12.75">
      <c r="A18" s="239" t="s">
        <v>358</v>
      </c>
      <c r="B18" s="240">
        <v>1</v>
      </c>
      <c r="C18" s="241" t="s">
        <v>217</v>
      </c>
      <c r="D18" s="271" t="s">
        <v>362</v>
      </c>
      <c r="E18" s="246" t="s">
        <v>227</v>
      </c>
      <c r="F18" s="240" t="s">
        <v>228</v>
      </c>
      <c r="G18" s="269" t="s">
        <v>228</v>
      </c>
      <c r="H18" s="154"/>
      <c r="K18" s="69" t="s">
        <v>227</v>
      </c>
      <c r="L18" s="70" t="s">
        <v>227</v>
      </c>
      <c r="M18" s="70" t="s">
        <v>472</v>
      </c>
      <c r="N18" s="70" t="s">
        <v>227</v>
      </c>
      <c r="O18" s="71">
        <v>0.02</v>
      </c>
      <c r="P18" s="72" t="b">
        <f>AND(G18=K18,G19=L18,G21=N18)</f>
        <v>0</v>
      </c>
      <c r="Q18" s="73">
        <f aca="true" t="shared" si="0" ref="Q18:Q26">P18*O18</f>
        <v>0</v>
      </c>
    </row>
    <row r="19" spans="1:17" ht="12.75">
      <c r="A19" s="239" t="s">
        <v>359</v>
      </c>
      <c r="B19" s="240">
        <v>2</v>
      </c>
      <c r="C19" s="241" t="s">
        <v>500</v>
      </c>
      <c r="D19" s="271" t="s">
        <v>361</v>
      </c>
      <c r="E19" s="246" t="s">
        <v>227</v>
      </c>
      <c r="F19" s="240" t="s">
        <v>228</v>
      </c>
      <c r="G19" s="269" t="s">
        <v>472</v>
      </c>
      <c r="H19" s="155"/>
      <c r="I19" s="47"/>
      <c r="J19" s="47"/>
      <c r="K19" s="69" t="s">
        <v>227</v>
      </c>
      <c r="L19" s="70" t="s">
        <v>227</v>
      </c>
      <c r="M19" s="70" t="s">
        <v>472</v>
      </c>
      <c r="N19" s="70" t="s">
        <v>228</v>
      </c>
      <c r="O19" s="71">
        <v>0.05</v>
      </c>
      <c r="P19" s="72" t="b">
        <f>AND(G18=K19,G19=L19,G21=N19)</f>
        <v>0</v>
      </c>
      <c r="Q19" s="73">
        <f t="shared" si="0"/>
        <v>0</v>
      </c>
    </row>
    <row r="20" spans="1:17" ht="12.75">
      <c r="A20" s="239" t="s">
        <v>360</v>
      </c>
      <c r="B20" s="240">
        <v>3</v>
      </c>
      <c r="C20" s="241" t="s">
        <v>493</v>
      </c>
      <c r="D20" s="268"/>
      <c r="E20" s="246" t="s">
        <v>227</v>
      </c>
      <c r="F20" s="240" t="s">
        <v>228</v>
      </c>
      <c r="G20" s="269" t="s">
        <v>227</v>
      </c>
      <c r="H20" s="155"/>
      <c r="I20" s="47"/>
      <c r="J20" s="47"/>
      <c r="K20" s="69" t="s">
        <v>227</v>
      </c>
      <c r="L20" s="70" t="s">
        <v>228</v>
      </c>
      <c r="M20" s="70" t="s">
        <v>472</v>
      </c>
      <c r="N20" s="70" t="s">
        <v>227</v>
      </c>
      <c r="O20" s="71">
        <v>0.5</v>
      </c>
      <c r="P20" s="72" t="b">
        <f>AND(G18=K20,G19=L20,G21=N20)</f>
        <v>0</v>
      </c>
      <c r="Q20" s="73">
        <f t="shared" si="0"/>
        <v>0</v>
      </c>
    </row>
    <row r="21" spans="1:17" ht="12.75">
      <c r="A21" s="239" t="s">
        <v>275</v>
      </c>
      <c r="B21" s="240">
        <v>4</v>
      </c>
      <c r="C21" s="241" t="s">
        <v>220</v>
      </c>
      <c r="D21" s="268"/>
      <c r="E21" s="246" t="s">
        <v>227</v>
      </c>
      <c r="F21" s="240" t="s">
        <v>228</v>
      </c>
      <c r="G21" s="269" t="s">
        <v>228</v>
      </c>
      <c r="H21" s="155"/>
      <c r="I21" s="47"/>
      <c r="J21" s="47"/>
      <c r="K21" s="69" t="s">
        <v>227</v>
      </c>
      <c r="L21" s="70" t="s">
        <v>228</v>
      </c>
      <c r="M21" s="70" t="s">
        <v>472</v>
      </c>
      <c r="N21" s="70" t="s">
        <v>228</v>
      </c>
      <c r="O21" s="71">
        <v>0.66</v>
      </c>
      <c r="P21" s="72" t="b">
        <f>AND(G18=K21,G19=L21,G21=N21)</f>
        <v>0</v>
      </c>
      <c r="Q21" s="73">
        <f t="shared" si="0"/>
        <v>0</v>
      </c>
    </row>
    <row r="22" spans="1:17" ht="12.75" hidden="1">
      <c r="A22" s="239"/>
      <c r="B22" s="240"/>
      <c r="C22" s="241"/>
      <c r="D22" s="268"/>
      <c r="E22" s="246"/>
      <c r="F22" s="240"/>
      <c r="G22" s="277"/>
      <c r="H22" s="155"/>
      <c r="I22" s="47"/>
      <c r="J22" s="47"/>
      <c r="K22" s="69" t="s">
        <v>227</v>
      </c>
      <c r="L22" s="70" t="s">
        <v>472</v>
      </c>
      <c r="M22" s="70" t="s">
        <v>227</v>
      </c>
      <c r="N22" s="70" t="s">
        <v>227</v>
      </c>
      <c r="O22" s="71">
        <v>0.01</v>
      </c>
      <c r="P22" s="72" t="b">
        <f>AND(G18=K22,G20=M22,G21=N22)</f>
        <v>0</v>
      </c>
      <c r="Q22" s="73">
        <f t="shared" si="0"/>
        <v>0</v>
      </c>
    </row>
    <row r="23" spans="1:17" ht="12.75" hidden="1">
      <c r="A23" s="239"/>
      <c r="B23" s="240"/>
      <c r="C23" s="241"/>
      <c r="D23" s="268"/>
      <c r="E23" s="246"/>
      <c r="F23" s="240"/>
      <c r="G23" s="277"/>
      <c r="H23" s="155"/>
      <c r="I23" s="47"/>
      <c r="J23" s="47"/>
      <c r="K23" s="69" t="s">
        <v>227</v>
      </c>
      <c r="L23" s="70" t="s">
        <v>472</v>
      </c>
      <c r="M23" s="70" t="s">
        <v>227</v>
      </c>
      <c r="N23" s="70" t="s">
        <v>228</v>
      </c>
      <c r="O23" s="71">
        <v>0.02</v>
      </c>
      <c r="P23" s="72" t="b">
        <f>AND(G18=K23,G20=M23,G21=N23)</f>
        <v>0</v>
      </c>
      <c r="Q23" s="73">
        <f t="shared" si="0"/>
        <v>0</v>
      </c>
    </row>
    <row r="24" spans="1:17" ht="12.75" hidden="1">
      <c r="A24" s="239"/>
      <c r="B24" s="240"/>
      <c r="C24" s="241"/>
      <c r="D24" s="268"/>
      <c r="E24" s="246"/>
      <c r="F24" s="240"/>
      <c r="G24" s="277"/>
      <c r="H24" s="155"/>
      <c r="I24" s="47"/>
      <c r="J24" s="47"/>
      <c r="K24" s="69" t="s">
        <v>228</v>
      </c>
      <c r="L24" s="70" t="s">
        <v>227</v>
      </c>
      <c r="M24" s="70" t="s">
        <v>472</v>
      </c>
      <c r="N24" s="70" t="s">
        <v>472</v>
      </c>
      <c r="O24" s="71">
        <v>0.8</v>
      </c>
      <c r="P24" s="72" t="b">
        <f>AND(G18=K24,G19=L24)</f>
        <v>0</v>
      </c>
      <c r="Q24" s="73">
        <f t="shared" si="0"/>
        <v>0</v>
      </c>
    </row>
    <row r="25" spans="1:17" ht="12.75" hidden="1">
      <c r="A25" s="239"/>
      <c r="B25" s="240"/>
      <c r="C25" s="241"/>
      <c r="D25" s="268"/>
      <c r="E25" s="246"/>
      <c r="F25" s="240"/>
      <c r="G25" s="277"/>
      <c r="H25" s="155"/>
      <c r="I25" s="47"/>
      <c r="J25" s="47"/>
      <c r="K25" s="69" t="s">
        <v>228</v>
      </c>
      <c r="L25" s="70" t="s">
        <v>228</v>
      </c>
      <c r="M25" s="70" t="s">
        <v>472</v>
      </c>
      <c r="N25" s="70" t="s">
        <v>472</v>
      </c>
      <c r="O25" s="71">
        <v>1</v>
      </c>
      <c r="P25" s="72" t="b">
        <f>AND(G18=K25,G19=L25)</f>
        <v>0</v>
      </c>
      <c r="Q25" s="73">
        <f t="shared" si="0"/>
        <v>0</v>
      </c>
    </row>
    <row r="26" spans="1:17" ht="12.75" hidden="1">
      <c r="A26" s="239"/>
      <c r="B26" s="240"/>
      <c r="C26" s="241"/>
      <c r="D26" s="268"/>
      <c r="E26" s="246"/>
      <c r="F26" s="240"/>
      <c r="G26" s="277"/>
      <c r="H26" s="155"/>
      <c r="I26" s="47"/>
      <c r="J26" s="47"/>
      <c r="K26" s="74" t="s">
        <v>228</v>
      </c>
      <c r="L26" s="75" t="s">
        <v>472</v>
      </c>
      <c r="M26" s="75" t="s">
        <v>227</v>
      </c>
      <c r="N26" s="75" t="s">
        <v>472</v>
      </c>
      <c r="O26" s="76">
        <v>0.8</v>
      </c>
      <c r="P26" s="77" t="b">
        <f>AND(G18=K26,G20=M26)</f>
        <v>1</v>
      </c>
      <c r="Q26" s="78">
        <f t="shared" si="0"/>
        <v>0.8</v>
      </c>
    </row>
    <row r="27" spans="1:10" ht="26.25">
      <c r="A27" s="239" t="s">
        <v>276</v>
      </c>
      <c r="B27" s="240"/>
      <c r="C27" s="241" t="s">
        <v>77</v>
      </c>
      <c r="D27" s="268">
        <v>0.5</v>
      </c>
      <c r="E27" s="246" t="s">
        <v>227</v>
      </c>
      <c r="F27" s="240" t="s">
        <v>228</v>
      </c>
      <c r="G27" s="319" t="s">
        <v>227</v>
      </c>
      <c r="H27" s="155">
        <f>IF(G27=E27,D27,1)</f>
        <v>0.5</v>
      </c>
      <c r="I27" s="47"/>
      <c r="J27" s="47"/>
    </row>
    <row r="28" spans="1:10" ht="12.75">
      <c r="A28" s="239" t="s">
        <v>277</v>
      </c>
      <c r="B28" s="240"/>
      <c r="C28" s="241" t="s">
        <v>221</v>
      </c>
      <c r="D28" s="268">
        <v>0.5</v>
      </c>
      <c r="E28" s="246" t="s">
        <v>227</v>
      </c>
      <c r="F28" s="240" t="s">
        <v>228</v>
      </c>
      <c r="G28" s="269" t="s">
        <v>227</v>
      </c>
      <c r="H28" s="155">
        <f>IF(G28=E28,D28,1)</f>
        <v>0.5</v>
      </c>
      <c r="I28" s="47"/>
      <c r="J28" s="47"/>
    </row>
    <row r="29" spans="1:8" ht="12.75" hidden="1">
      <c r="A29" s="240"/>
      <c r="B29" s="240"/>
      <c r="C29" s="241"/>
      <c r="D29" s="239"/>
      <c r="E29" s="240"/>
      <c r="F29" s="240"/>
      <c r="G29" s="277"/>
      <c r="H29" s="154"/>
    </row>
    <row r="30" spans="1:7" ht="12.75" hidden="1">
      <c r="A30" s="167" t="s">
        <v>354</v>
      </c>
      <c r="B30" s="49"/>
      <c r="C30" s="59"/>
      <c r="D30" s="160"/>
      <c r="E30" s="49"/>
      <c r="F30" s="49"/>
      <c r="G30" s="172">
        <f>PRODUCT(H15:H28)</f>
        <v>0.033</v>
      </c>
    </row>
    <row r="31" spans="1:7" ht="12.75">
      <c r="A31" s="168" t="s">
        <v>355</v>
      </c>
      <c r="B31" s="161"/>
      <c r="C31" s="162"/>
      <c r="D31" s="163"/>
      <c r="E31" s="161"/>
      <c r="F31" s="161"/>
      <c r="G31" s="169">
        <f>D13*PRODUCT(H15,H16,H17,H27,H28)</f>
        <v>0.33</v>
      </c>
    </row>
    <row r="33" spans="1:8" ht="21">
      <c r="A33" s="166" t="s">
        <v>347</v>
      </c>
      <c r="B33" s="161"/>
      <c r="C33" s="166" t="s">
        <v>234</v>
      </c>
      <c r="D33" s="163"/>
      <c r="E33" s="161"/>
      <c r="F33" s="161"/>
      <c r="G33" s="301" t="s">
        <v>353</v>
      </c>
      <c r="H33" s="302"/>
    </row>
    <row r="34" spans="7:8" ht="12.75">
      <c r="G34" s="160"/>
      <c r="H34" s="160"/>
    </row>
    <row r="35" spans="1:10" ht="12.75">
      <c r="A35" s="422" t="s">
        <v>534</v>
      </c>
      <c r="B35" s="422"/>
      <c r="C35" s="422"/>
      <c r="D35" s="170" t="str">
        <f>$D$12</f>
        <v>Kengetal risico</v>
      </c>
      <c r="F35" s="44"/>
      <c r="G35" s="272"/>
      <c r="H35" s="174"/>
      <c r="I35" s="44"/>
      <c r="J35" s="44"/>
    </row>
    <row r="36" spans="3:8" ht="63" customHeight="1">
      <c r="C36" s="59" t="s">
        <v>29</v>
      </c>
      <c r="D36" s="160">
        <v>100</v>
      </c>
      <c r="E36" s="49"/>
      <c r="G36" s="160"/>
      <c r="H36" s="303"/>
    </row>
    <row r="37" spans="1:8" ht="12.75">
      <c r="A37" s="165" t="s">
        <v>352</v>
      </c>
      <c r="D37" s="170" t="s">
        <v>185</v>
      </c>
      <c r="E37" s="44" t="str">
        <f>$E$14</f>
        <v>Mogelijke antwoorden</v>
      </c>
      <c r="G37" s="237" t="s">
        <v>226</v>
      </c>
      <c r="H37" s="164" t="s">
        <v>186</v>
      </c>
    </row>
    <row r="38" spans="1:10" ht="26.25">
      <c r="A38" s="255" t="s">
        <v>278</v>
      </c>
      <c r="B38" s="240"/>
      <c r="C38" s="241" t="s">
        <v>53</v>
      </c>
      <c r="D38" s="273">
        <v>0.25</v>
      </c>
      <c r="E38" s="240" t="s">
        <v>227</v>
      </c>
      <c r="F38" s="240" t="s">
        <v>228</v>
      </c>
      <c r="G38" s="269" t="s">
        <v>228</v>
      </c>
      <c r="H38" s="155">
        <f>IF(G38=E38,D38,1)</f>
        <v>1</v>
      </c>
      <c r="I38" s="47"/>
      <c r="J38" s="47"/>
    </row>
    <row r="39" spans="1:10" ht="12.75">
      <c r="A39" s="255" t="s">
        <v>279</v>
      </c>
      <c r="B39" s="240"/>
      <c r="C39" s="241" t="s">
        <v>483</v>
      </c>
      <c r="D39" s="268">
        <v>0.1</v>
      </c>
      <c r="E39" s="246" t="s">
        <v>227</v>
      </c>
      <c r="F39" s="240" t="s">
        <v>228</v>
      </c>
      <c r="G39" s="269" t="s">
        <v>227</v>
      </c>
      <c r="H39" s="155">
        <f>IF(G39=E39,D39,1)</f>
        <v>0.1</v>
      </c>
      <c r="I39" s="47"/>
      <c r="J39" s="47"/>
    </row>
    <row r="40" spans="1:17" ht="12.75">
      <c r="A40" s="255" t="s">
        <v>280</v>
      </c>
      <c r="B40" s="240"/>
      <c r="C40" s="241" t="s">
        <v>484</v>
      </c>
      <c r="D40" s="268">
        <v>0.2</v>
      </c>
      <c r="E40" s="246" t="s">
        <v>227</v>
      </c>
      <c r="F40" s="240" t="s">
        <v>228</v>
      </c>
      <c r="G40" s="274" t="s">
        <v>227</v>
      </c>
      <c r="H40" s="155">
        <f>IF(G40=E40,D40,1)</f>
        <v>0.2</v>
      </c>
      <c r="I40" s="47"/>
      <c r="J40" s="47"/>
      <c r="P40" s="55"/>
      <c r="Q40" s="55"/>
    </row>
    <row r="41" spans="1:18" s="95" customFormat="1" ht="12.75">
      <c r="A41" s="256"/>
      <c r="B41" s="243"/>
      <c r="C41" s="257" t="s">
        <v>501</v>
      </c>
      <c r="D41" s="268"/>
      <c r="E41" s="246"/>
      <c r="F41" s="240"/>
      <c r="G41" s="277"/>
      <c r="H41" s="155">
        <f>K42</f>
        <v>0.1</v>
      </c>
      <c r="I41" s="3"/>
      <c r="J41" s="47"/>
      <c r="K41" s="55"/>
      <c r="L41" s="55"/>
      <c r="M41" s="55"/>
      <c r="N41" s="55"/>
      <c r="O41" s="55"/>
      <c r="P41" s="55"/>
      <c r="Q41" s="55"/>
      <c r="R41" s="96"/>
    </row>
    <row r="42" spans="1:18" s="95" customFormat="1" ht="12.75">
      <c r="A42" s="255" t="s">
        <v>281</v>
      </c>
      <c r="B42" s="243" t="s">
        <v>267</v>
      </c>
      <c r="C42" s="275" t="s">
        <v>315</v>
      </c>
      <c r="D42" s="268">
        <v>0.02</v>
      </c>
      <c r="E42" s="246" t="s">
        <v>227</v>
      </c>
      <c r="F42" s="240" t="s">
        <v>228</v>
      </c>
      <c r="G42" s="269" t="s">
        <v>228</v>
      </c>
      <c r="H42" s="154"/>
      <c r="I42" s="47"/>
      <c r="J42" s="96"/>
      <c r="K42" s="304">
        <f>IF(G42=E42,D42,IF(G43=E43,D43,100%))</f>
        <v>0.1</v>
      </c>
      <c r="L42" s="55"/>
      <c r="M42" s="55"/>
      <c r="N42" s="55"/>
      <c r="O42" s="55"/>
      <c r="P42" s="55"/>
      <c r="Q42" s="55"/>
      <c r="R42" s="96"/>
    </row>
    <row r="43" spans="1:18" s="95" customFormat="1" ht="39">
      <c r="A43" s="256" t="s">
        <v>85</v>
      </c>
      <c r="B43" s="243" t="s">
        <v>268</v>
      </c>
      <c r="C43" s="275" t="s">
        <v>197</v>
      </c>
      <c r="D43" s="268">
        <v>0.1</v>
      </c>
      <c r="E43" s="246" t="s">
        <v>227</v>
      </c>
      <c r="F43" s="240" t="s">
        <v>228</v>
      </c>
      <c r="G43" s="319" t="s">
        <v>227</v>
      </c>
      <c r="H43" s="155"/>
      <c r="I43" s="47"/>
      <c r="J43" s="96"/>
      <c r="K43" s="305"/>
      <c r="L43" s="55"/>
      <c r="M43" s="55"/>
      <c r="N43" s="55"/>
      <c r="O43" s="55"/>
      <c r="P43" s="55"/>
      <c r="Q43" s="55"/>
      <c r="R43" s="96"/>
    </row>
    <row r="44" spans="1:18" s="95" customFormat="1" ht="12.75" hidden="1">
      <c r="A44" s="243"/>
      <c r="B44" s="243"/>
      <c r="C44" s="275"/>
      <c r="D44" s="268"/>
      <c r="E44" s="246"/>
      <c r="F44" s="240"/>
      <c r="G44" s="313"/>
      <c r="H44" s="155"/>
      <c r="I44" s="47"/>
      <c r="J44" s="47"/>
      <c r="K44" s="47"/>
      <c r="L44" s="47"/>
      <c r="M44" s="47"/>
      <c r="N44" s="47"/>
      <c r="O44" s="47"/>
      <c r="P44" s="47"/>
      <c r="Q44" s="47"/>
      <c r="R44" s="96"/>
    </row>
    <row r="45" spans="1:18" s="95" customFormat="1" ht="12.75" hidden="1">
      <c r="A45" s="243"/>
      <c r="B45" s="243"/>
      <c r="C45" s="275"/>
      <c r="D45" s="268"/>
      <c r="E45" s="246"/>
      <c r="F45" s="240"/>
      <c r="G45" s="313"/>
      <c r="H45" s="155"/>
      <c r="I45" s="47"/>
      <c r="J45" s="47"/>
      <c r="K45" s="190" t="s">
        <v>291</v>
      </c>
      <c r="L45" s="47"/>
      <c r="M45" s="47"/>
      <c r="N45" s="47"/>
      <c r="O45" s="47"/>
      <c r="P45" s="47"/>
      <c r="Q45" s="47"/>
      <c r="R45" s="96"/>
    </row>
    <row r="46" spans="1:18" s="95" customFormat="1" ht="12.75" hidden="1">
      <c r="A46" s="243"/>
      <c r="B46" s="243"/>
      <c r="C46" s="275"/>
      <c r="D46" s="268"/>
      <c r="E46" s="246"/>
      <c r="F46" s="240"/>
      <c r="G46" s="313"/>
      <c r="H46" s="155"/>
      <c r="I46" s="47"/>
      <c r="J46" s="96"/>
      <c r="K46" s="96"/>
      <c r="L46" s="96"/>
      <c r="M46" s="96"/>
      <c r="N46" s="96"/>
      <c r="O46" s="96"/>
      <c r="P46" s="96"/>
      <c r="Q46" s="96"/>
      <c r="R46" s="96"/>
    </row>
    <row r="47" spans="1:17" ht="12.75">
      <c r="A47" s="240"/>
      <c r="B47" s="240"/>
      <c r="C47" s="242" t="s">
        <v>112</v>
      </c>
      <c r="D47" s="268"/>
      <c r="E47" s="246"/>
      <c r="F47" s="240"/>
      <c r="G47" s="277"/>
      <c r="H47" s="155">
        <f>IF(OR(P48:P56),Q47,O47)</f>
        <v>0.8</v>
      </c>
      <c r="I47" s="47"/>
      <c r="J47" s="47"/>
      <c r="K47" s="65" t="str">
        <f>A48</f>
        <v>PM 3</v>
      </c>
      <c r="L47" s="66" t="str">
        <f>A49</f>
        <v>PM 4</v>
      </c>
      <c r="M47" s="66" t="str">
        <f>A50</f>
        <v>PM 5</v>
      </c>
      <c r="N47" s="66" t="str">
        <f>A51</f>
        <v>PM 6</v>
      </c>
      <c r="O47" s="80">
        <v>1</v>
      </c>
      <c r="P47" s="67"/>
      <c r="Q47" s="68">
        <f>SUM(Q48:Q56)</f>
        <v>0.8</v>
      </c>
    </row>
    <row r="48" spans="1:17" ht="12.75">
      <c r="A48" s="239" t="s">
        <v>358</v>
      </c>
      <c r="B48" s="240" t="s">
        <v>267</v>
      </c>
      <c r="C48" s="241" t="s">
        <v>217</v>
      </c>
      <c r="D48" s="271" t="s">
        <v>362</v>
      </c>
      <c r="E48" s="246" t="s">
        <v>227</v>
      </c>
      <c r="F48" s="240" t="s">
        <v>228</v>
      </c>
      <c r="G48" s="269" t="s">
        <v>228</v>
      </c>
      <c r="H48" s="154"/>
      <c r="I48" s="47"/>
      <c r="K48" s="69" t="s">
        <v>227</v>
      </c>
      <c r="L48" s="70" t="s">
        <v>227</v>
      </c>
      <c r="M48" s="70" t="s">
        <v>472</v>
      </c>
      <c r="N48" s="70" t="s">
        <v>227</v>
      </c>
      <c r="O48" s="71">
        <v>0.02</v>
      </c>
      <c r="P48" s="72" t="b">
        <f>AND(G48=K48,G49=L48,G51=N48)</f>
        <v>0</v>
      </c>
      <c r="Q48" s="73">
        <f aca="true" t="shared" si="1" ref="Q48:Q56">P48*O48</f>
        <v>0</v>
      </c>
    </row>
    <row r="49" spans="1:17" ht="12.75">
      <c r="A49" s="239" t="s">
        <v>359</v>
      </c>
      <c r="B49" s="240" t="s">
        <v>268</v>
      </c>
      <c r="C49" s="241" t="s">
        <v>500</v>
      </c>
      <c r="D49" s="271" t="s">
        <v>282</v>
      </c>
      <c r="E49" s="246" t="s">
        <v>227</v>
      </c>
      <c r="F49" s="240" t="s">
        <v>228</v>
      </c>
      <c r="G49" s="269" t="s">
        <v>227</v>
      </c>
      <c r="H49" s="155"/>
      <c r="I49" s="47"/>
      <c r="J49" s="47"/>
      <c r="K49" s="69" t="s">
        <v>227</v>
      </c>
      <c r="L49" s="70" t="s">
        <v>227</v>
      </c>
      <c r="M49" s="70" t="s">
        <v>472</v>
      </c>
      <c r="N49" s="70" t="s">
        <v>228</v>
      </c>
      <c r="O49" s="71">
        <v>0.05</v>
      </c>
      <c r="P49" s="72" t="b">
        <f>AND(G48=K49,G49=L49,G51=N49)</f>
        <v>0</v>
      </c>
      <c r="Q49" s="73">
        <f t="shared" si="1"/>
        <v>0</v>
      </c>
    </row>
    <row r="50" spans="1:17" ht="12.75">
      <c r="A50" s="239" t="s">
        <v>360</v>
      </c>
      <c r="B50" s="240" t="s">
        <v>403</v>
      </c>
      <c r="C50" s="241" t="s">
        <v>493</v>
      </c>
      <c r="D50" s="268"/>
      <c r="E50" s="246" t="s">
        <v>227</v>
      </c>
      <c r="F50" s="240" t="s">
        <v>228</v>
      </c>
      <c r="G50" s="269" t="s">
        <v>472</v>
      </c>
      <c r="H50" s="155"/>
      <c r="I50" s="47"/>
      <c r="J50" s="47"/>
      <c r="K50" s="69" t="s">
        <v>227</v>
      </c>
      <c r="L50" s="70" t="s">
        <v>228</v>
      </c>
      <c r="M50" s="70" t="s">
        <v>472</v>
      </c>
      <c r="N50" s="70" t="s">
        <v>227</v>
      </c>
      <c r="O50" s="71">
        <v>0.5</v>
      </c>
      <c r="P50" s="72" t="b">
        <f>AND(G48=K50,G49=L50,G51=N50)</f>
        <v>0</v>
      </c>
      <c r="Q50" s="73">
        <f t="shared" si="1"/>
        <v>0</v>
      </c>
    </row>
    <row r="51" spans="1:17" ht="12.75">
      <c r="A51" s="239" t="s">
        <v>275</v>
      </c>
      <c r="B51" s="240" t="s">
        <v>404</v>
      </c>
      <c r="C51" s="241" t="s">
        <v>220</v>
      </c>
      <c r="D51" s="268"/>
      <c r="E51" s="246" t="s">
        <v>227</v>
      </c>
      <c r="F51" s="240" t="s">
        <v>228</v>
      </c>
      <c r="G51" s="269" t="s">
        <v>228</v>
      </c>
      <c r="H51" s="155"/>
      <c r="I51" s="47"/>
      <c r="J51" s="47"/>
      <c r="K51" s="69" t="s">
        <v>227</v>
      </c>
      <c r="L51" s="70" t="s">
        <v>228</v>
      </c>
      <c r="M51" s="70" t="s">
        <v>472</v>
      </c>
      <c r="N51" s="70" t="s">
        <v>228</v>
      </c>
      <c r="O51" s="71">
        <v>0.66</v>
      </c>
      <c r="P51" s="72" t="b">
        <f>AND(G48=K51,G49=L51,G51=N51)</f>
        <v>0</v>
      </c>
      <c r="Q51" s="73">
        <f t="shared" si="1"/>
        <v>0</v>
      </c>
    </row>
    <row r="52" spans="1:17" ht="12.75" hidden="1">
      <c r="A52" s="240"/>
      <c r="B52" s="240"/>
      <c r="C52" s="241"/>
      <c r="D52" s="268"/>
      <c r="E52" s="246"/>
      <c r="F52" s="240"/>
      <c r="G52" s="277"/>
      <c r="H52" s="155"/>
      <c r="I52" s="47"/>
      <c r="J52" s="47"/>
      <c r="K52" s="69" t="s">
        <v>227</v>
      </c>
      <c r="L52" s="70" t="s">
        <v>472</v>
      </c>
      <c r="M52" s="70" t="s">
        <v>227</v>
      </c>
      <c r="N52" s="70" t="s">
        <v>227</v>
      </c>
      <c r="O52" s="71">
        <v>0.01</v>
      </c>
      <c r="P52" s="72" t="b">
        <f>AND(G48=K52,G50=M52,G51=N52)</f>
        <v>0</v>
      </c>
      <c r="Q52" s="73">
        <f t="shared" si="1"/>
        <v>0</v>
      </c>
    </row>
    <row r="53" spans="1:17" ht="12.75" hidden="1">
      <c r="A53" s="240"/>
      <c r="B53" s="240"/>
      <c r="C53" s="241"/>
      <c r="D53" s="268"/>
      <c r="E53" s="246"/>
      <c r="F53" s="240"/>
      <c r="G53" s="277"/>
      <c r="H53" s="155"/>
      <c r="I53" s="47"/>
      <c r="J53" s="47"/>
      <c r="K53" s="69" t="s">
        <v>227</v>
      </c>
      <c r="L53" s="70" t="s">
        <v>472</v>
      </c>
      <c r="M53" s="70" t="s">
        <v>227</v>
      </c>
      <c r="N53" s="70" t="s">
        <v>228</v>
      </c>
      <c r="O53" s="71">
        <v>0.02</v>
      </c>
      <c r="P53" s="72" t="b">
        <f>AND(G48=K53,G50=M53,G51=N53)</f>
        <v>0</v>
      </c>
      <c r="Q53" s="73">
        <f t="shared" si="1"/>
        <v>0</v>
      </c>
    </row>
    <row r="54" spans="1:17" ht="12.75" hidden="1">
      <c r="A54" s="240"/>
      <c r="B54" s="240"/>
      <c r="C54" s="241"/>
      <c r="D54" s="268"/>
      <c r="E54" s="246"/>
      <c r="F54" s="240"/>
      <c r="G54" s="277"/>
      <c r="H54" s="155"/>
      <c r="I54" s="47"/>
      <c r="J54" s="47"/>
      <c r="K54" s="69" t="s">
        <v>228</v>
      </c>
      <c r="L54" s="70" t="s">
        <v>227</v>
      </c>
      <c r="M54" s="70" t="s">
        <v>472</v>
      </c>
      <c r="N54" s="70" t="s">
        <v>472</v>
      </c>
      <c r="O54" s="71">
        <v>0.8</v>
      </c>
      <c r="P54" s="72" t="b">
        <f>AND(G48=K54,G49=L54)</f>
        <v>1</v>
      </c>
      <c r="Q54" s="73">
        <f t="shared" si="1"/>
        <v>0.8</v>
      </c>
    </row>
    <row r="55" spans="1:17" ht="12.75" hidden="1">
      <c r="A55" s="240"/>
      <c r="B55" s="240"/>
      <c r="C55" s="241"/>
      <c r="D55" s="268"/>
      <c r="E55" s="246"/>
      <c r="F55" s="240"/>
      <c r="G55" s="277"/>
      <c r="H55" s="155"/>
      <c r="I55" s="47"/>
      <c r="J55" s="47"/>
      <c r="K55" s="69" t="s">
        <v>228</v>
      </c>
      <c r="L55" s="70" t="s">
        <v>228</v>
      </c>
      <c r="M55" s="70" t="s">
        <v>472</v>
      </c>
      <c r="N55" s="70" t="s">
        <v>472</v>
      </c>
      <c r="O55" s="71">
        <v>1</v>
      </c>
      <c r="P55" s="72" t="b">
        <f>AND(G48=K55,G49=L55)</f>
        <v>0</v>
      </c>
      <c r="Q55" s="73">
        <f t="shared" si="1"/>
        <v>0</v>
      </c>
    </row>
    <row r="56" spans="1:17" ht="12.75" hidden="1">
      <c r="A56" s="240"/>
      <c r="B56" s="240"/>
      <c r="C56" s="241"/>
      <c r="D56" s="268"/>
      <c r="E56" s="246"/>
      <c r="F56" s="240"/>
      <c r="G56" s="277"/>
      <c r="H56" s="155"/>
      <c r="I56" s="47"/>
      <c r="J56" s="47"/>
      <c r="K56" s="74" t="s">
        <v>228</v>
      </c>
      <c r="L56" s="75" t="s">
        <v>472</v>
      </c>
      <c r="M56" s="75" t="s">
        <v>227</v>
      </c>
      <c r="N56" s="75" t="s">
        <v>472</v>
      </c>
      <c r="O56" s="76">
        <v>0.8</v>
      </c>
      <c r="P56" s="77" t="b">
        <f>AND(G48=K56,G50=M56)</f>
        <v>0</v>
      </c>
      <c r="Q56" s="78">
        <f t="shared" si="1"/>
        <v>0</v>
      </c>
    </row>
    <row r="57" spans="1:10" ht="26.25">
      <c r="A57" s="239" t="s">
        <v>276</v>
      </c>
      <c r="B57" s="240"/>
      <c r="C57" s="241" t="s">
        <v>77</v>
      </c>
      <c r="D57" s="268">
        <v>0.5</v>
      </c>
      <c r="E57" s="246" t="s">
        <v>227</v>
      </c>
      <c r="F57" s="240" t="s">
        <v>228</v>
      </c>
      <c r="G57" s="269" t="s">
        <v>227</v>
      </c>
      <c r="H57" s="155">
        <f>IF(G57=E57,D57,1)</f>
        <v>0.5</v>
      </c>
      <c r="I57" s="47"/>
      <c r="J57" s="47"/>
    </row>
    <row r="58" spans="1:10" ht="12.75">
      <c r="A58" s="239" t="s">
        <v>277</v>
      </c>
      <c r="B58" s="240"/>
      <c r="C58" s="241" t="s">
        <v>221</v>
      </c>
      <c r="D58" s="268">
        <v>0.5</v>
      </c>
      <c r="E58" s="246" t="s">
        <v>227</v>
      </c>
      <c r="F58" s="240" t="s">
        <v>228</v>
      </c>
      <c r="G58" s="269" t="s">
        <v>227</v>
      </c>
      <c r="H58" s="155">
        <f>IF(G58=E58,D58,1)</f>
        <v>0.5</v>
      </c>
      <c r="I58" s="47"/>
      <c r="J58" s="47"/>
    </row>
    <row r="59" spans="4:10" ht="12.75" hidden="1">
      <c r="D59" s="60"/>
      <c r="E59" s="49"/>
      <c r="G59" s="160"/>
      <c r="H59" s="155"/>
      <c r="I59" s="47"/>
      <c r="J59" s="47"/>
    </row>
    <row r="60" spans="1:10" ht="12.75" hidden="1">
      <c r="A60" s="167" t="s">
        <v>354</v>
      </c>
      <c r="B60" s="49"/>
      <c r="C60" s="59"/>
      <c r="D60" s="160"/>
      <c r="E60" s="49"/>
      <c r="F60" s="49"/>
      <c r="G60" s="173">
        <f>PRODUCT(H38:H58)</f>
        <v>0.00040000000000000013</v>
      </c>
      <c r="I60" s="47"/>
      <c r="J60" s="47"/>
    </row>
    <row r="61" spans="1:10" ht="12.75">
      <c r="A61" s="168" t="s">
        <v>355</v>
      </c>
      <c r="B61" s="161"/>
      <c r="C61" s="162"/>
      <c r="D61" s="163"/>
      <c r="E61" s="161"/>
      <c r="F61" s="161"/>
      <c r="G61" s="169">
        <f>D36*PRODUCT(H39,H40,H41,H47,H57,H58)</f>
        <v>0.040000000000000015</v>
      </c>
      <c r="I61" s="47"/>
      <c r="J61" s="47"/>
    </row>
    <row r="62" ht="12.75">
      <c r="H62" s="3"/>
    </row>
    <row r="63" spans="1:10" ht="12.75">
      <c r="A63" s="422" t="s">
        <v>535</v>
      </c>
      <c r="B63" s="422"/>
      <c r="C63" s="422"/>
      <c r="D63" s="170" t="str">
        <f>$D$12</f>
        <v>Kengetal risico</v>
      </c>
      <c r="F63" s="165"/>
      <c r="G63" s="237"/>
      <c r="H63" s="164"/>
      <c r="I63" s="44"/>
      <c r="J63" s="44"/>
    </row>
    <row r="64" spans="3:8" ht="39">
      <c r="C64" s="59" t="s">
        <v>80</v>
      </c>
      <c r="D64" s="160">
        <v>250</v>
      </c>
      <c r="E64" s="49"/>
      <c r="G64" s="160"/>
      <c r="H64" s="179"/>
    </row>
    <row r="65" spans="1:8" ht="12.75">
      <c r="A65" s="165" t="s">
        <v>352</v>
      </c>
      <c r="D65" s="170" t="s">
        <v>185</v>
      </c>
      <c r="E65" s="44" t="str">
        <f>$E$14</f>
        <v>Mogelijke antwoorden</v>
      </c>
      <c r="G65" s="237" t="s">
        <v>226</v>
      </c>
      <c r="H65" s="164" t="s">
        <v>186</v>
      </c>
    </row>
    <row r="66" spans="1:10" ht="26.25">
      <c r="A66" s="278" t="s">
        <v>278</v>
      </c>
      <c r="B66" s="279"/>
      <c r="C66" s="280" t="s">
        <v>53</v>
      </c>
      <c r="D66" s="281">
        <f>D38</f>
        <v>0.25</v>
      </c>
      <c r="E66" s="279"/>
      <c r="F66" s="279"/>
      <c r="G66" s="282"/>
      <c r="H66" s="180">
        <f>H38</f>
        <v>1</v>
      </c>
      <c r="I66" s="47"/>
      <c r="J66" s="63"/>
    </row>
    <row r="67" spans="1:10" ht="12.75">
      <c r="A67" s="239" t="s">
        <v>86</v>
      </c>
      <c r="B67" s="240"/>
      <c r="C67" s="241" t="s">
        <v>488</v>
      </c>
      <c r="D67" s="273">
        <v>0.02</v>
      </c>
      <c r="E67" s="246" t="s">
        <v>227</v>
      </c>
      <c r="F67" s="240" t="s">
        <v>228</v>
      </c>
      <c r="G67" s="269" t="s">
        <v>70</v>
      </c>
      <c r="H67" s="155">
        <f>IF(G67=E67,D67,1)</f>
        <v>0.02</v>
      </c>
      <c r="I67" s="47"/>
      <c r="J67" s="47"/>
    </row>
    <row r="68" spans="1:13" ht="26.25">
      <c r="A68" s="283" t="s">
        <v>504</v>
      </c>
      <c r="B68" s="284"/>
      <c r="C68" s="285" t="s">
        <v>501</v>
      </c>
      <c r="D68" s="286">
        <f>D41</f>
        <v>0</v>
      </c>
      <c r="E68" s="285"/>
      <c r="F68" s="285"/>
      <c r="G68" s="283"/>
      <c r="H68" s="181">
        <f>H41</f>
        <v>0.1</v>
      </c>
      <c r="I68" s="47"/>
      <c r="K68" s="3"/>
      <c r="L68" s="3"/>
      <c r="M68" s="3"/>
    </row>
    <row r="69" spans="1:13" ht="26.25">
      <c r="A69" s="287" t="s">
        <v>399</v>
      </c>
      <c r="B69" s="279"/>
      <c r="C69" s="280" t="s">
        <v>112</v>
      </c>
      <c r="D69" s="288"/>
      <c r="E69" s="284"/>
      <c r="F69" s="279"/>
      <c r="G69" s="282"/>
      <c r="H69" s="180">
        <f>H47</f>
        <v>0.8</v>
      </c>
      <c r="K69" s="3"/>
      <c r="L69" s="3"/>
      <c r="M69" s="3"/>
    </row>
    <row r="70" spans="1:13" ht="12.75">
      <c r="A70" s="278" t="s">
        <v>276</v>
      </c>
      <c r="B70" s="279"/>
      <c r="C70" s="289" t="s">
        <v>77</v>
      </c>
      <c r="D70" s="281">
        <f>D57</f>
        <v>0.5</v>
      </c>
      <c r="E70" s="284"/>
      <c r="F70" s="279"/>
      <c r="G70" s="282"/>
      <c r="H70" s="180">
        <f>H57</f>
        <v>0.5</v>
      </c>
      <c r="I70" s="47"/>
      <c r="K70" s="3"/>
      <c r="L70" s="3"/>
      <c r="M70" s="3"/>
    </row>
    <row r="71" spans="1:13" ht="12.75">
      <c r="A71" s="278" t="s">
        <v>277</v>
      </c>
      <c r="B71" s="279"/>
      <c r="C71" s="289" t="s">
        <v>221</v>
      </c>
      <c r="D71" s="281">
        <f>D58</f>
        <v>0.5</v>
      </c>
      <c r="E71" s="284"/>
      <c r="F71" s="279"/>
      <c r="G71" s="282"/>
      <c r="H71" s="180">
        <f>H58</f>
        <v>0.5</v>
      </c>
      <c r="I71" s="47"/>
      <c r="K71" s="3"/>
      <c r="L71" s="3"/>
      <c r="M71" s="3"/>
    </row>
    <row r="72" spans="7:9" ht="12.75" hidden="1">
      <c r="G72" s="160"/>
      <c r="H72" s="154"/>
      <c r="I72" s="47"/>
    </row>
    <row r="73" spans="1:9" ht="12.75" hidden="1">
      <c r="A73" s="167" t="s">
        <v>354</v>
      </c>
      <c r="B73" s="49"/>
      <c r="C73" s="59"/>
      <c r="D73" s="160"/>
      <c r="E73" s="49"/>
      <c r="F73" s="49"/>
      <c r="G73" s="173">
        <f>PRODUCT(H66:H71)</f>
        <v>0.0004</v>
      </c>
      <c r="I73" s="47"/>
    </row>
    <row r="74" spans="1:9" ht="12.75">
      <c r="A74" s="168" t="s">
        <v>355</v>
      </c>
      <c r="B74" s="161"/>
      <c r="C74" s="162"/>
      <c r="D74" s="163"/>
      <c r="E74" s="161"/>
      <c r="F74" s="161"/>
      <c r="G74" s="169">
        <f>D64*PRODUCT(H66,H67,H68,H69,H70,H71)</f>
        <v>0.1</v>
      </c>
      <c r="I74" s="47"/>
    </row>
    <row r="75" ht="12.75">
      <c r="I75" s="47"/>
    </row>
    <row r="76" spans="1:10" ht="12.75">
      <c r="A76" s="422" t="s">
        <v>536</v>
      </c>
      <c r="B76" s="422"/>
      <c r="C76" s="422"/>
      <c r="D76" s="170" t="str">
        <f>$D$12</f>
        <v>Kengetal risico</v>
      </c>
      <c r="F76" s="44"/>
      <c r="G76" s="272"/>
      <c r="H76" s="174"/>
      <c r="I76" s="47"/>
      <c r="J76" s="44"/>
    </row>
    <row r="77" spans="3:9" ht="63" customHeight="1">
      <c r="C77" s="59" t="s">
        <v>30</v>
      </c>
      <c r="D77" s="160">
        <v>250</v>
      </c>
      <c r="E77" s="49"/>
      <c r="G77" s="160"/>
      <c r="H77" s="179"/>
      <c r="I77" s="47"/>
    </row>
    <row r="78" spans="1:11" ht="12.75">
      <c r="A78" s="165" t="s">
        <v>352</v>
      </c>
      <c r="D78" s="170" t="s">
        <v>185</v>
      </c>
      <c r="E78" s="44" t="str">
        <f>$E$14</f>
        <v>Mogelijke antwoorden</v>
      </c>
      <c r="G78" s="237" t="s">
        <v>226</v>
      </c>
      <c r="H78" s="164" t="s">
        <v>186</v>
      </c>
      <c r="I78" s="47"/>
      <c r="K78" s="190" t="s">
        <v>290</v>
      </c>
    </row>
    <row r="79" spans="1:10" ht="26.25">
      <c r="A79" s="278" t="s">
        <v>278</v>
      </c>
      <c r="B79" s="279"/>
      <c r="C79" s="280" t="s">
        <v>53</v>
      </c>
      <c r="D79" s="290">
        <f>D66</f>
        <v>0.25</v>
      </c>
      <c r="E79" s="280"/>
      <c r="F79" s="280"/>
      <c r="G79" s="283"/>
      <c r="H79" s="182">
        <f>H66</f>
        <v>1</v>
      </c>
      <c r="I79" s="47"/>
      <c r="J79" s="63"/>
    </row>
    <row r="80" spans="1:18" ht="12.75">
      <c r="A80" s="239"/>
      <c r="B80" s="240"/>
      <c r="C80" s="241" t="s">
        <v>94</v>
      </c>
      <c r="D80" s="268"/>
      <c r="E80" s="246"/>
      <c r="F80" s="240"/>
      <c r="G80" s="277"/>
      <c r="H80" s="155">
        <f>IF(OR(P81:P84),Q80,O80)</f>
        <v>0.1</v>
      </c>
      <c r="I80" s="47"/>
      <c r="J80" s="47"/>
      <c r="K80" s="65" t="str">
        <f>A81</f>
        <v>PM 15</v>
      </c>
      <c r="L80" s="66" t="str">
        <f>A82</f>
        <v>PM 16</v>
      </c>
      <c r="M80" s="66"/>
      <c r="N80" s="66"/>
      <c r="O80" s="80">
        <v>1</v>
      </c>
      <c r="P80" s="67"/>
      <c r="Q80" s="68">
        <f>SUM(Q81:Q90)</f>
        <v>0.1</v>
      </c>
      <c r="R80" s="47"/>
    </row>
    <row r="81" spans="1:18" ht="12.75">
      <c r="A81" s="239" t="s">
        <v>87</v>
      </c>
      <c r="B81" s="240" t="s">
        <v>267</v>
      </c>
      <c r="C81" s="241" t="s">
        <v>489</v>
      </c>
      <c r="D81" s="271" t="s">
        <v>362</v>
      </c>
      <c r="E81" s="246" t="s">
        <v>227</v>
      </c>
      <c r="F81" s="240" t="s">
        <v>228</v>
      </c>
      <c r="G81" s="269" t="s">
        <v>227</v>
      </c>
      <c r="H81" s="154"/>
      <c r="K81" s="69" t="s">
        <v>227</v>
      </c>
      <c r="L81" s="70" t="s">
        <v>227</v>
      </c>
      <c r="M81" s="70"/>
      <c r="N81" s="70"/>
      <c r="O81" s="71">
        <v>0.1</v>
      </c>
      <c r="P81" s="72" t="b">
        <f>AND(G81=E81,G82=E82)</f>
        <v>1</v>
      </c>
      <c r="Q81" s="73">
        <f>P81*O81</f>
        <v>0.1</v>
      </c>
      <c r="R81" s="47"/>
    </row>
    <row r="82" spans="1:18" ht="26.25">
      <c r="A82" s="239" t="s">
        <v>88</v>
      </c>
      <c r="B82" s="240" t="s">
        <v>268</v>
      </c>
      <c r="C82" s="241" t="s">
        <v>92</v>
      </c>
      <c r="D82" s="271" t="s">
        <v>283</v>
      </c>
      <c r="E82" s="246" t="s">
        <v>227</v>
      </c>
      <c r="F82" s="240" t="s">
        <v>228</v>
      </c>
      <c r="G82" s="269" t="s">
        <v>227</v>
      </c>
      <c r="H82" s="155"/>
      <c r="I82" s="47"/>
      <c r="J82" s="47"/>
      <c r="K82" s="69" t="s">
        <v>227</v>
      </c>
      <c r="L82" s="70" t="s">
        <v>228</v>
      </c>
      <c r="M82" s="70"/>
      <c r="N82" s="70"/>
      <c r="O82" s="71">
        <v>0.2</v>
      </c>
      <c r="P82" s="72" t="b">
        <f>AND(G81=E81,G82=F82)</f>
        <v>0</v>
      </c>
      <c r="Q82" s="73">
        <f>P82*O82</f>
        <v>0</v>
      </c>
      <c r="R82" s="47"/>
    </row>
    <row r="83" spans="1:18" ht="12.75" hidden="1">
      <c r="A83" s="239"/>
      <c r="B83" s="240"/>
      <c r="C83" s="241"/>
      <c r="D83" s="268"/>
      <c r="E83" s="246"/>
      <c r="F83" s="240"/>
      <c r="G83" s="313"/>
      <c r="H83" s="155"/>
      <c r="I83" s="47"/>
      <c r="J83" s="47"/>
      <c r="K83" s="69" t="s">
        <v>228</v>
      </c>
      <c r="L83" s="70" t="s">
        <v>227</v>
      </c>
      <c r="M83" s="70"/>
      <c r="N83" s="70"/>
      <c r="O83" s="71">
        <v>0.1</v>
      </c>
      <c r="P83" s="72" t="b">
        <f>AND(G81=F81,G82=E82)</f>
        <v>0</v>
      </c>
      <c r="Q83" s="73">
        <f>P83*O83</f>
        <v>0</v>
      </c>
      <c r="R83" s="47"/>
    </row>
    <row r="84" spans="1:18" ht="12.75" hidden="1">
      <c r="A84" s="239"/>
      <c r="B84" s="240"/>
      <c r="C84" s="241"/>
      <c r="D84" s="268"/>
      <c r="E84" s="246"/>
      <c r="F84" s="240"/>
      <c r="G84" s="313"/>
      <c r="H84" s="155"/>
      <c r="I84" s="47"/>
      <c r="J84" s="47"/>
      <c r="K84" s="74" t="s">
        <v>228</v>
      </c>
      <c r="L84" s="75" t="s">
        <v>228</v>
      </c>
      <c r="M84" s="75"/>
      <c r="N84" s="75"/>
      <c r="O84" s="76">
        <v>1</v>
      </c>
      <c r="P84" s="77" t="b">
        <f>AND(G81=F81,G82=F82)</f>
        <v>0</v>
      </c>
      <c r="Q84" s="78">
        <f>P85*O84</f>
        <v>0</v>
      </c>
      <c r="R84" s="47"/>
    </row>
    <row r="85" spans="1:18" ht="26.25">
      <c r="A85" s="239" t="s">
        <v>89</v>
      </c>
      <c r="B85" s="240"/>
      <c r="C85" s="241" t="s">
        <v>273</v>
      </c>
      <c r="D85" s="273">
        <v>0.02</v>
      </c>
      <c r="E85" s="246" t="s">
        <v>227</v>
      </c>
      <c r="F85" s="240" t="s">
        <v>228</v>
      </c>
      <c r="G85" s="269" t="s">
        <v>69</v>
      </c>
      <c r="H85" s="155">
        <f>IF(G85=E85,D85,1)</f>
        <v>1</v>
      </c>
      <c r="I85" s="47"/>
      <c r="J85" s="47"/>
      <c r="K85" s="47"/>
      <c r="L85" s="47"/>
      <c r="M85" s="47"/>
      <c r="N85" s="47"/>
      <c r="O85" s="47"/>
      <c r="P85" s="47"/>
      <c r="Q85" s="47"/>
      <c r="R85" s="47"/>
    </row>
    <row r="86" spans="1:18" s="95" customFormat="1" ht="26.25">
      <c r="A86" s="283" t="s">
        <v>504</v>
      </c>
      <c r="B86" s="291"/>
      <c r="C86" s="292" t="s">
        <v>501</v>
      </c>
      <c r="D86" s="293"/>
      <c r="E86" s="294"/>
      <c r="F86" s="291"/>
      <c r="G86" s="295"/>
      <c r="H86" s="183">
        <f>H41</f>
        <v>0.1</v>
      </c>
      <c r="I86" s="47"/>
      <c r="J86" s="96"/>
      <c r="K86" s="96"/>
      <c r="L86" s="96"/>
      <c r="M86" s="96"/>
      <c r="N86" s="96"/>
      <c r="O86" s="96"/>
      <c r="P86" s="96"/>
      <c r="Q86" s="96"/>
      <c r="R86" s="96"/>
    </row>
    <row r="87" spans="1:18" ht="26.25">
      <c r="A87" s="287" t="s">
        <v>399</v>
      </c>
      <c r="B87" s="279"/>
      <c r="C87" s="280" t="s">
        <v>112</v>
      </c>
      <c r="D87" s="288"/>
      <c r="E87" s="284"/>
      <c r="F87" s="279"/>
      <c r="G87" s="282"/>
      <c r="H87" s="155">
        <f>H47</f>
        <v>0.8</v>
      </c>
      <c r="I87" s="62"/>
      <c r="J87" s="64"/>
      <c r="K87" s="64"/>
      <c r="L87" s="64"/>
      <c r="M87" s="64"/>
      <c r="N87" s="64"/>
      <c r="O87" s="64"/>
      <c r="P87" s="64"/>
      <c r="Q87" s="64"/>
      <c r="R87" s="64"/>
    </row>
    <row r="88" spans="1:13" ht="12.75">
      <c r="A88" s="278" t="s">
        <v>276</v>
      </c>
      <c r="B88" s="279"/>
      <c r="C88" s="289" t="s">
        <v>77</v>
      </c>
      <c r="D88" s="281">
        <f>D57</f>
        <v>0.5</v>
      </c>
      <c r="E88" s="284"/>
      <c r="F88" s="279"/>
      <c r="G88" s="282"/>
      <c r="H88" s="155">
        <f>IF(G88=E88,D88,1)</f>
        <v>0.5</v>
      </c>
      <c r="I88" s="63"/>
      <c r="J88" s="64"/>
      <c r="K88" s="61"/>
      <c r="L88" s="61"/>
      <c r="M88" s="63"/>
    </row>
    <row r="89" spans="1:13" ht="12.75">
      <c r="A89" s="278" t="s">
        <v>277</v>
      </c>
      <c r="B89" s="279"/>
      <c r="C89" s="289" t="s">
        <v>221</v>
      </c>
      <c r="D89" s="281">
        <f>D58</f>
        <v>0.5</v>
      </c>
      <c r="E89" s="284"/>
      <c r="F89" s="279"/>
      <c r="G89" s="282"/>
      <c r="H89" s="180">
        <f>H58</f>
        <v>0.5</v>
      </c>
      <c r="I89" s="63"/>
      <c r="J89" s="64"/>
      <c r="K89" s="61"/>
      <c r="L89" s="61"/>
      <c r="M89" s="63"/>
    </row>
    <row r="90" spans="7:8" ht="12.75" hidden="1">
      <c r="G90" s="160"/>
      <c r="H90" s="154"/>
    </row>
    <row r="91" spans="1:7" ht="12.75" hidden="1">
      <c r="A91" s="167" t="s">
        <v>354</v>
      </c>
      <c r="B91" s="49"/>
      <c r="C91" s="59"/>
      <c r="D91" s="160"/>
      <c r="E91" s="49"/>
      <c r="F91" s="49"/>
      <c r="G91" s="173">
        <f>PRODUCT(H79:H89)</f>
        <v>0.0020000000000000005</v>
      </c>
    </row>
    <row r="92" spans="1:7" ht="12.75">
      <c r="A92" s="168" t="s">
        <v>355</v>
      </c>
      <c r="B92" s="161"/>
      <c r="C92" s="162"/>
      <c r="D92" s="163"/>
      <c r="E92" s="161"/>
      <c r="F92" s="161"/>
      <c r="G92" s="177">
        <f>D77*PRODUCT(H79,H80,H85,H86,H87,H88,H89)</f>
        <v>0.5000000000000001</v>
      </c>
    </row>
    <row r="94" spans="1:10" ht="12.75">
      <c r="A94" s="422" t="s">
        <v>537</v>
      </c>
      <c r="B94" s="422"/>
      <c r="C94" s="422"/>
      <c r="D94" s="170" t="str">
        <f>$D$12</f>
        <v>Kengetal risico</v>
      </c>
      <c r="F94" s="44"/>
      <c r="G94" s="272"/>
      <c r="H94" s="174"/>
      <c r="I94" s="44"/>
      <c r="J94" s="44"/>
    </row>
    <row r="95" spans="3:8" ht="26.25">
      <c r="C95" s="59" t="s">
        <v>38</v>
      </c>
      <c r="D95" s="160">
        <v>250</v>
      </c>
      <c r="E95" s="49"/>
      <c r="G95" s="160"/>
      <c r="H95" s="179"/>
    </row>
    <row r="96" spans="1:8" ht="12.75">
      <c r="A96" s="165" t="s">
        <v>352</v>
      </c>
      <c r="D96" s="170" t="s">
        <v>185</v>
      </c>
      <c r="E96" s="44" t="str">
        <f>$E$14</f>
        <v>Mogelijke antwoorden</v>
      </c>
      <c r="G96" s="237" t="s">
        <v>226</v>
      </c>
      <c r="H96" s="164" t="s">
        <v>186</v>
      </c>
    </row>
    <row r="97" spans="1:10" ht="26.25">
      <c r="A97" s="278" t="s">
        <v>278</v>
      </c>
      <c r="B97" s="279"/>
      <c r="C97" s="280" t="s">
        <v>53</v>
      </c>
      <c r="D97" s="290">
        <f>D80</f>
        <v>0</v>
      </c>
      <c r="E97" s="280"/>
      <c r="F97" s="280"/>
      <c r="G97" s="283"/>
      <c r="H97" s="182">
        <f>H80</f>
        <v>0.1</v>
      </c>
      <c r="I97" s="63"/>
      <c r="J97" s="63"/>
    </row>
    <row r="98" spans="1:8" ht="26.25">
      <c r="A98" s="239" t="s">
        <v>90</v>
      </c>
      <c r="B98" s="240"/>
      <c r="C98" s="241" t="s">
        <v>151</v>
      </c>
      <c r="D98" s="273">
        <v>0.5</v>
      </c>
      <c r="E98" s="246" t="s">
        <v>227</v>
      </c>
      <c r="F98" s="240" t="s">
        <v>228</v>
      </c>
      <c r="G98" s="269" t="s">
        <v>227</v>
      </c>
      <c r="H98" s="155">
        <f>IF(G98=E98,D98,1)</f>
        <v>0.5</v>
      </c>
    </row>
    <row r="99" spans="1:8" ht="26.25">
      <c r="A99" s="239" t="s">
        <v>91</v>
      </c>
      <c r="B99" s="240"/>
      <c r="C99" s="258" t="s">
        <v>367</v>
      </c>
      <c r="D99" s="273">
        <v>0.2</v>
      </c>
      <c r="E99" s="246" t="s">
        <v>227</v>
      </c>
      <c r="F99" s="240" t="s">
        <v>228</v>
      </c>
      <c r="G99" s="269" t="s">
        <v>227</v>
      </c>
      <c r="H99" s="155">
        <f>IF(G99=E99,D99,1)</f>
        <v>0.2</v>
      </c>
    </row>
    <row r="100" spans="1:9" ht="26.25">
      <c r="A100" s="283" t="s">
        <v>504</v>
      </c>
      <c r="B100" s="279"/>
      <c r="C100" s="280" t="s">
        <v>501</v>
      </c>
      <c r="D100" s="290">
        <f>D41</f>
        <v>0</v>
      </c>
      <c r="E100" s="296"/>
      <c r="F100" s="296"/>
      <c r="G100" s="297"/>
      <c r="H100" s="182">
        <f>H41</f>
        <v>0.1</v>
      </c>
      <c r="I100" s="307"/>
    </row>
    <row r="101" spans="1:9" ht="26.25">
      <c r="A101" s="287" t="s">
        <v>399</v>
      </c>
      <c r="B101" s="279"/>
      <c r="C101" s="280" t="s">
        <v>112</v>
      </c>
      <c r="D101" s="290"/>
      <c r="E101" s="296"/>
      <c r="F101" s="296"/>
      <c r="G101" s="297"/>
      <c r="H101" s="182">
        <f>H47</f>
        <v>0.8</v>
      </c>
      <c r="I101" s="307"/>
    </row>
    <row r="102" spans="1:9" ht="26.25">
      <c r="A102" s="278" t="s">
        <v>276</v>
      </c>
      <c r="B102" s="279"/>
      <c r="C102" s="280" t="s">
        <v>77</v>
      </c>
      <c r="D102" s="290">
        <f>D57</f>
        <v>0.5</v>
      </c>
      <c r="E102" s="296"/>
      <c r="F102" s="296"/>
      <c r="G102" s="297"/>
      <c r="H102" s="182">
        <f>H57</f>
        <v>0.5</v>
      </c>
      <c r="I102" s="307"/>
    </row>
    <row r="103" spans="1:9" ht="12.75">
      <c r="A103" s="278" t="s">
        <v>277</v>
      </c>
      <c r="B103" s="279"/>
      <c r="C103" s="280" t="s">
        <v>221</v>
      </c>
      <c r="D103" s="290">
        <f>D58</f>
        <v>0.5</v>
      </c>
      <c r="E103" s="296"/>
      <c r="F103" s="296"/>
      <c r="G103" s="297"/>
      <c r="H103" s="182">
        <f>H58</f>
        <v>0.5</v>
      </c>
      <c r="I103" s="307"/>
    </row>
    <row r="104" spans="1:9" ht="12.75" hidden="1">
      <c r="A104" s="158"/>
      <c r="B104" s="61"/>
      <c r="C104" s="62"/>
      <c r="D104" s="159"/>
      <c r="E104" s="79"/>
      <c r="F104" s="79"/>
      <c r="G104" s="306"/>
      <c r="H104" s="182"/>
      <c r="I104" s="307"/>
    </row>
    <row r="105" spans="1:9" ht="12.75" hidden="1">
      <c r="A105" s="167" t="s">
        <v>354</v>
      </c>
      <c r="B105" s="49"/>
      <c r="C105" s="59"/>
      <c r="D105" s="160"/>
      <c r="E105" s="49"/>
      <c r="F105" s="49"/>
      <c r="G105" s="178">
        <f>PRODUCT(H97:H103)</f>
        <v>0.00020000000000000006</v>
      </c>
      <c r="I105" s="307"/>
    </row>
    <row r="106" spans="1:9" ht="12.75">
      <c r="A106" s="168" t="s">
        <v>355</v>
      </c>
      <c r="B106" s="161"/>
      <c r="C106" s="162"/>
      <c r="D106" s="163"/>
      <c r="E106" s="161"/>
      <c r="F106" s="161"/>
      <c r="G106" s="169">
        <f>D95*PRODUCT(H97,H98,H99,H100,H101,H102)</f>
        <v>0.10000000000000003</v>
      </c>
      <c r="I106" s="307"/>
    </row>
    <row r="107" spans="1:9" ht="12.75">
      <c r="A107" s="61"/>
      <c r="B107" s="61"/>
      <c r="C107" s="62"/>
      <c r="D107" s="159"/>
      <c r="E107" s="79"/>
      <c r="F107" s="79"/>
      <c r="G107" s="159"/>
      <c r="H107" s="159"/>
      <c r="I107" s="307"/>
    </row>
    <row r="108" spans="1:15" ht="21">
      <c r="A108" s="166" t="s">
        <v>348</v>
      </c>
      <c r="B108" s="163"/>
      <c r="C108" s="184" t="s">
        <v>461</v>
      </c>
      <c r="D108" s="163"/>
      <c r="E108" s="161"/>
      <c r="F108" s="161"/>
      <c r="G108" s="301" t="s">
        <v>353</v>
      </c>
      <c r="H108" s="302"/>
      <c r="K108" s="3"/>
      <c r="L108" s="3"/>
      <c r="M108" s="3"/>
      <c r="N108" s="3"/>
      <c r="O108" s="3"/>
    </row>
    <row r="109" spans="4:5" ht="12.75">
      <c r="D109" s="160"/>
      <c r="E109" s="49"/>
    </row>
    <row r="110" spans="1:10" ht="12.75">
      <c r="A110" s="422" t="s">
        <v>538</v>
      </c>
      <c r="B110" s="422"/>
      <c r="C110" s="422"/>
      <c r="D110" s="170" t="s">
        <v>184</v>
      </c>
      <c r="H110" s="164" t="s">
        <v>186</v>
      </c>
      <c r="I110" s="44"/>
      <c r="J110" s="44"/>
    </row>
    <row r="111" spans="1:8" ht="87.75" customHeight="1">
      <c r="A111" s="97" t="s">
        <v>82</v>
      </c>
      <c r="C111" s="59" t="s">
        <v>243</v>
      </c>
      <c r="D111" s="160">
        <v>50</v>
      </c>
      <c r="E111" s="49"/>
      <c r="G111" s="160"/>
      <c r="H111" s="179"/>
    </row>
    <row r="112" spans="1:8" ht="12.75">
      <c r="A112" s="165" t="s">
        <v>352</v>
      </c>
      <c r="D112" s="170" t="s">
        <v>185</v>
      </c>
      <c r="E112" s="48" t="s">
        <v>225</v>
      </c>
      <c r="G112" s="237" t="s">
        <v>226</v>
      </c>
      <c r="H112" s="179"/>
    </row>
    <row r="113" spans="1:9" ht="26.25">
      <c r="A113" s="277" t="s">
        <v>503</v>
      </c>
      <c r="B113" s="246"/>
      <c r="C113" s="247" t="s">
        <v>156</v>
      </c>
      <c r="D113" s="314">
        <v>0.2</v>
      </c>
      <c r="E113" s="246" t="s">
        <v>70</v>
      </c>
      <c r="F113" s="246" t="s">
        <v>69</v>
      </c>
      <c r="G113" s="269" t="s">
        <v>227</v>
      </c>
      <c r="H113" s="155">
        <f>IF(G113=E113,D113,1)</f>
        <v>0.2</v>
      </c>
      <c r="I113" s="49"/>
    </row>
    <row r="114" spans="1:17" ht="12.75" hidden="1">
      <c r="A114" s="240"/>
      <c r="B114" s="240"/>
      <c r="C114" s="241"/>
      <c r="D114" s="315"/>
      <c r="E114" s="240"/>
      <c r="F114" s="240"/>
      <c r="G114" s="277"/>
      <c r="H114" s="155">
        <f>IF(OR(P115:P117),Q114,O114)</f>
        <v>0.05</v>
      </c>
      <c r="K114" s="81" t="str">
        <f>A115</f>
        <v>PM 21</v>
      </c>
      <c r="L114" s="82" t="str">
        <f>A116</f>
        <v>PM 22</v>
      </c>
      <c r="M114" s="82" t="str">
        <f>A117</f>
        <v>PM 23</v>
      </c>
      <c r="N114" s="82"/>
      <c r="O114" s="93">
        <v>1</v>
      </c>
      <c r="P114" s="83"/>
      <c r="Q114" s="84">
        <f>SUM(Q115:Q117)</f>
        <v>0.05</v>
      </c>
    </row>
    <row r="115" spans="1:17" ht="26.25">
      <c r="A115" s="255" t="s">
        <v>505</v>
      </c>
      <c r="B115" s="261" t="s">
        <v>267</v>
      </c>
      <c r="C115" s="264" t="s">
        <v>257</v>
      </c>
      <c r="D115" s="298" t="s">
        <v>362</v>
      </c>
      <c r="E115" s="263" t="s">
        <v>227</v>
      </c>
      <c r="F115" s="263" t="s">
        <v>228</v>
      </c>
      <c r="G115" s="299" t="s">
        <v>69</v>
      </c>
      <c r="H115" s="154"/>
      <c r="I115" s="63"/>
      <c r="J115" s="63"/>
      <c r="K115" s="85" t="s">
        <v>227</v>
      </c>
      <c r="L115" s="86" t="s">
        <v>227</v>
      </c>
      <c r="M115" s="86" t="s">
        <v>472</v>
      </c>
      <c r="N115" s="86"/>
      <c r="O115" s="87">
        <v>0.01</v>
      </c>
      <c r="P115" s="88" t="b">
        <f>AND(G115=E115,G116=E116)</f>
        <v>0</v>
      </c>
      <c r="Q115" s="308">
        <f>P115*O115</f>
        <v>0</v>
      </c>
    </row>
    <row r="116" spans="1:17" ht="12.75">
      <c r="A116" s="255" t="s">
        <v>506</v>
      </c>
      <c r="B116" s="261" t="s">
        <v>268</v>
      </c>
      <c r="C116" s="264" t="s">
        <v>405</v>
      </c>
      <c r="D116" s="271" t="s">
        <v>284</v>
      </c>
      <c r="E116" s="240" t="s">
        <v>227</v>
      </c>
      <c r="F116" s="240" t="s">
        <v>228</v>
      </c>
      <c r="G116" s="269" t="s">
        <v>69</v>
      </c>
      <c r="H116" s="155"/>
      <c r="K116" s="85" t="s">
        <v>227</v>
      </c>
      <c r="L116" s="86" t="s">
        <v>228</v>
      </c>
      <c r="M116" s="86" t="s">
        <v>472</v>
      </c>
      <c r="N116" s="86"/>
      <c r="O116" s="87">
        <v>0.05</v>
      </c>
      <c r="P116" s="88" t="b">
        <f>AND(G115=E115,G116=F116)</f>
        <v>0</v>
      </c>
      <c r="Q116" s="308">
        <f>P116*O116</f>
        <v>0</v>
      </c>
    </row>
    <row r="117" spans="1:17" ht="12.75">
      <c r="A117" s="255" t="s">
        <v>507</v>
      </c>
      <c r="B117" s="261"/>
      <c r="C117" s="263" t="s">
        <v>466</v>
      </c>
      <c r="D117" s="239"/>
      <c r="E117" s="240" t="s">
        <v>227</v>
      </c>
      <c r="F117" s="240" t="s">
        <v>228</v>
      </c>
      <c r="G117" s="269" t="s">
        <v>70</v>
      </c>
      <c r="H117" s="154"/>
      <c r="K117" s="89" t="s">
        <v>472</v>
      </c>
      <c r="L117" s="90" t="s">
        <v>472</v>
      </c>
      <c r="M117" s="90" t="s">
        <v>227</v>
      </c>
      <c r="N117" s="90"/>
      <c r="O117" s="91">
        <v>0.05</v>
      </c>
      <c r="P117" s="92" t="b">
        <f>(G117=E117)</f>
        <v>1</v>
      </c>
      <c r="Q117" s="309">
        <f>P117*O117</f>
        <v>0.05</v>
      </c>
    </row>
    <row r="118" spans="7:8" ht="12.75" hidden="1">
      <c r="G118" s="160"/>
      <c r="H118" s="154"/>
    </row>
    <row r="119" spans="1:7" ht="12.75" hidden="1">
      <c r="A119" s="167" t="s">
        <v>354</v>
      </c>
      <c r="B119" s="49"/>
      <c r="C119" s="59"/>
      <c r="D119" s="160"/>
      <c r="E119" s="49"/>
      <c r="F119" s="49"/>
      <c r="G119" s="176">
        <f>PRODUCT(H112:H118)</f>
        <v>0.010000000000000002</v>
      </c>
    </row>
    <row r="120" spans="1:7" ht="12.75">
      <c r="A120" s="168" t="s">
        <v>355</v>
      </c>
      <c r="B120" s="161"/>
      <c r="C120" s="162"/>
      <c r="D120" s="163"/>
      <c r="E120" s="161"/>
      <c r="F120" s="161"/>
      <c r="G120" s="169">
        <f>D111*PRODUCT(H113,H114)</f>
        <v>0.5000000000000001</v>
      </c>
    </row>
    <row r="122" spans="1:15" ht="21">
      <c r="A122" s="166" t="s">
        <v>349</v>
      </c>
      <c r="B122" s="163"/>
      <c r="C122" s="185" t="s">
        <v>462</v>
      </c>
      <c r="D122" s="163"/>
      <c r="E122" s="161"/>
      <c r="F122" s="161"/>
      <c r="G122" s="301" t="s">
        <v>353</v>
      </c>
      <c r="H122" s="302"/>
      <c r="K122" s="3"/>
      <c r="L122" s="3"/>
      <c r="M122" s="3"/>
      <c r="N122" s="3"/>
      <c r="O122" s="3"/>
    </row>
    <row r="123" spans="4:5" ht="12.75">
      <c r="D123" s="160"/>
      <c r="E123" s="49"/>
    </row>
    <row r="124" spans="1:10" ht="12.75">
      <c r="A124" s="422" t="s">
        <v>539</v>
      </c>
      <c r="B124" s="422"/>
      <c r="C124" s="422"/>
      <c r="D124" s="170" t="s">
        <v>184</v>
      </c>
      <c r="H124" s="164" t="s">
        <v>186</v>
      </c>
      <c r="I124" s="44"/>
      <c r="J124" s="44"/>
    </row>
    <row r="125" spans="1:8" ht="127.5" customHeight="1">
      <c r="A125" s="97" t="s">
        <v>82</v>
      </c>
      <c r="C125" s="59" t="s">
        <v>113</v>
      </c>
      <c r="D125" s="160">
        <v>50</v>
      </c>
      <c r="E125" s="49"/>
      <c r="G125" s="160"/>
      <c r="H125" s="154"/>
    </row>
    <row r="126" spans="1:15" ht="12.75">
      <c r="A126" s="165" t="s">
        <v>352</v>
      </c>
      <c r="D126" s="170" t="s">
        <v>185</v>
      </c>
      <c r="E126" s="48" t="s">
        <v>225</v>
      </c>
      <c r="G126" s="237" t="s">
        <v>226</v>
      </c>
      <c r="H126" s="155"/>
      <c r="K126" s="3"/>
      <c r="L126" s="3"/>
      <c r="M126" s="3"/>
      <c r="N126" s="3"/>
      <c r="O126" s="3"/>
    </row>
    <row r="127" spans="1:15" ht="26.25">
      <c r="A127" s="277" t="s">
        <v>503</v>
      </c>
      <c r="B127" s="246"/>
      <c r="C127" s="247" t="s">
        <v>156</v>
      </c>
      <c r="D127" s="314">
        <v>0.2</v>
      </c>
      <c r="E127" s="246" t="s">
        <v>227</v>
      </c>
      <c r="F127" s="246" t="s">
        <v>228</v>
      </c>
      <c r="G127" s="269" t="s">
        <v>70</v>
      </c>
      <c r="H127" s="155">
        <f>IF(G127=E127,D127,1)</f>
        <v>0.2</v>
      </c>
      <c r="I127" s="49"/>
      <c r="K127" s="3"/>
      <c r="L127" s="3"/>
      <c r="M127" s="3"/>
      <c r="N127" s="3"/>
      <c r="O127" s="3"/>
    </row>
    <row r="128" spans="1:15" ht="12.75">
      <c r="A128" s="255" t="s">
        <v>508</v>
      </c>
      <c r="B128" s="261"/>
      <c r="C128" s="264" t="s">
        <v>465</v>
      </c>
      <c r="D128" s="300">
        <v>0</v>
      </c>
      <c r="E128" s="246" t="s">
        <v>227</v>
      </c>
      <c r="F128" s="240" t="s">
        <v>228</v>
      </c>
      <c r="G128" s="269" t="s">
        <v>70</v>
      </c>
      <c r="H128" s="155">
        <f>IF(G128=E128,D128,1)</f>
        <v>0</v>
      </c>
      <c r="I128" s="63"/>
      <c r="K128" s="3"/>
      <c r="L128" s="3"/>
      <c r="M128" s="3"/>
      <c r="N128" s="3"/>
      <c r="O128" s="3"/>
    </row>
    <row r="129" spans="1:15" ht="12.75">
      <c r="A129" s="239"/>
      <c r="B129" s="261"/>
      <c r="C129" s="263" t="s">
        <v>464</v>
      </c>
      <c r="D129" s="239"/>
      <c r="E129" s="246"/>
      <c r="F129" s="240"/>
      <c r="G129" s="277"/>
      <c r="H129" s="155">
        <f>IF(G130=E130,D130,IF(G131=E131,D131,100%))</f>
        <v>1</v>
      </c>
      <c r="K129" s="3"/>
      <c r="L129" s="3"/>
      <c r="M129" s="3"/>
      <c r="N129" s="3"/>
      <c r="O129" s="3"/>
    </row>
    <row r="130" spans="1:15" ht="12.75">
      <c r="A130" s="255" t="s">
        <v>509</v>
      </c>
      <c r="B130" s="240" t="s">
        <v>267</v>
      </c>
      <c r="C130" s="241" t="s">
        <v>318</v>
      </c>
      <c r="D130" s="273">
        <v>0.05</v>
      </c>
      <c r="E130" s="246" t="s">
        <v>227</v>
      </c>
      <c r="F130" s="240" t="s">
        <v>228</v>
      </c>
      <c r="G130" s="269" t="s">
        <v>69</v>
      </c>
      <c r="H130" s="155"/>
      <c r="K130" s="3"/>
      <c r="L130" s="3"/>
      <c r="M130" s="3"/>
      <c r="N130" s="3"/>
      <c r="O130" s="3"/>
    </row>
    <row r="131" spans="1:15" ht="12.75">
      <c r="A131" s="255" t="s">
        <v>510</v>
      </c>
      <c r="B131" s="240" t="s">
        <v>268</v>
      </c>
      <c r="C131" s="241" t="s">
        <v>319</v>
      </c>
      <c r="D131" s="273">
        <v>0.33</v>
      </c>
      <c r="E131" s="246" t="s">
        <v>227</v>
      </c>
      <c r="F131" s="240" t="s">
        <v>228</v>
      </c>
      <c r="G131" s="269" t="s">
        <v>69</v>
      </c>
      <c r="H131" s="155"/>
      <c r="K131" s="3"/>
      <c r="L131" s="3"/>
      <c r="M131" s="3"/>
      <c r="N131" s="3"/>
      <c r="O131" s="3"/>
    </row>
    <row r="132" spans="7:8" ht="12.75" hidden="1">
      <c r="G132" s="160"/>
      <c r="H132" s="154"/>
    </row>
    <row r="133" spans="1:7" ht="12.75" hidden="1">
      <c r="A133" s="167" t="s">
        <v>354</v>
      </c>
      <c r="B133" s="49"/>
      <c r="C133" s="59"/>
      <c r="D133" s="160"/>
      <c r="E133" s="49"/>
      <c r="F133" s="49"/>
      <c r="G133" s="176">
        <f>PRODUCT(H126:H132)</f>
        <v>0</v>
      </c>
    </row>
    <row r="134" spans="1:7" ht="12.75">
      <c r="A134" s="168" t="s">
        <v>355</v>
      </c>
      <c r="B134" s="161"/>
      <c r="C134" s="162"/>
      <c r="D134" s="163"/>
      <c r="E134" s="161"/>
      <c r="F134" s="161"/>
      <c r="G134" s="169">
        <f>D125*PRODUCT(H127,H128,H129)</f>
        <v>0</v>
      </c>
    </row>
    <row r="136" spans="1:15" ht="21">
      <c r="A136" s="166" t="s">
        <v>350</v>
      </c>
      <c r="B136" s="163"/>
      <c r="C136" s="184" t="s">
        <v>60</v>
      </c>
      <c r="D136" s="163"/>
      <c r="E136" s="161"/>
      <c r="F136" s="161"/>
      <c r="G136" s="301" t="s">
        <v>353</v>
      </c>
      <c r="H136" s="302"/>
      <c r="K136" s="3"/>
      <c r="L136" s="3"/>
      <c r="M136" s="3"/>
      <c r="N136" s="3"/>
      <c r="O136" s="3"/>
    </row>
    <row r="137" spans="4:5" ht="12.75">
      <c r="D137" s="160"/>
      <c r="E137" s="49"/>
    </row>
    <row r="138" spans="1:10" ht="12.75">
      <c r="A138" s="422" t="s">
        <v>540</v>
      </c>
      <c r="B138" s="422"/>
      <c r="C138" s="422"/>
      <c r="D138" s="170" t="str">
        <f>$D$12</f>
        <v>Kengetal risico</v>
      </c>
      <c r="H138" s="164" t="s">
        <v>186</v>
      </c>
      <c r="I138" s="44"/>
      <c r="J138" s="44"/>
    </row>
    <row r="139" spans="3:8" ht="165.75" customHeight="1">
      <c r="C139" s="12" t="s">
        <v>189</v>
      </c>
      <c r="D139" s="160">
        <v>500</v>
      </c>
      <c r="E139" s="49"/>
      <c r="G139" s="160"/>
      <c r="H139" s="179"/>
    </row>
    <row r="140" spans="1:15" ht="12.75">
      <c r="A140" s="165" t="s">
        <v>352</v>
      </c>
      <c r="D140" s="170" t="s">
        <v>185</v>
      </c>
      <c r="E140" s="44" t="str">
        <f>$E$14</f>
        <v>Mogelijke antwoorden</v>
      </c>
      <c r="F140" s="44"/>
      <c r="G140" s="237" t="s">
        <v>226</v>
      </c>
      <c r="H140" s="155"/>
      <c r="K140" s="3"/>
      <c r="L140" s="3"/>
      <c r="M140" s="3"/>
      <c r="N140" s="3"/>
      <c r="O140" s="3"/>
    </row>
    <row r="141" spans="1:8" ht="26.25">
      <c r="A141" s="239" t="s">
        <v>512</v>
      </c>
      <c r="B141" s="240"/>
      <c r="C141" s="242" t="s">
        <v>271</v>
      </c>
      <c r="D141" s="315">
        <v>0.5</v>
      </c>
      <c r="E141" s="240" t="s">
        <v>227</v>
      </c>
      <c r="F141" s="240" t="s">
        <v>228</v>
      </c>
      <c r="G141" s="269" t="s">
        <v>227</v>
      </c>
      <c r="H141" s="155">
        <f>IF(G141=E141,D141,1)</f>
        <v>0.5</v>
      </c>
    </row>
    <row r="142" spans="1:15" ht="26.25">
      <c r="A142" s="255" t="s">
        <v>513</v>
      </c>
      <c r="B142" s="240"/>
      <c r="C142" s="242" t="s">
        <v>147</v>
      </c>
      <c r="D142" s="273">
        <v>0.25</v>
      </c>
      <c r="E142" s="240" t="s">
        <v>227</v>
      </c>
      <c r="F142" s="240" t="s">
        <v>228</v>
      </c>
      <c r="G142" s="269" t="s">
        <v>228</v>
      </c>
      <c r="H142" s="155">
        <f>IF(G142=E142,D142,1)</f>
        <v>1</v>
      </c>
      <c r="K142" s="3"/>
      <c r="L142" s="3"/>
      <c r="M142" s="3"/>
      <c r="N142" s="3"/>
      <c r="O142" s="3"/>
    </row>
    <row r="143" spans="1:15" ht="26.25">
      <c r="A143" s="255"/>
      <c r="B143" s="261"/>
      <c r="C143" s="263" t="s">
        <v>61</v>
      </c>
      <c r="D143" s="300"/>
      <c r="E143" s="240"/>
      <c r="F143" s="240"/>
      <c r="G143" s="277"/>
      <c r="H143" s="310">
        <f>AVERAGE(K144,K147)</f>
        <v>0.8</v>
      </c>
      <c r="I143" s="63"/>
      <c r="K143" s="3"/>
      <c r="L143" s="3"/>
      <c r="M143" s="3"/>
      <c r="N143" s="3"/>
      <c r="O143" s="3"/>
    </row>
    <row r="144" spans="1:15" ht="12.75">
      <c r="A144" s="255" t="s">
        <v>514</v>
      </c>
      <c r="B144" s="261" t="s">
        <v>267</v>
      </c>
      <c r="C144" s="263" t="s">
        <v>68</v>
      </c>
      <c r="D144" s="300">
        <v>0.8</v>
      </c>
      <c r="E144" s="246" t="s">
        <v>227</v>
      </c>
      <c r="F144" s="240" t="s">
        <v>228</v>
      </c>
      <c r="G144" s="269" t="s">
        <v>227</v>
      </c>
      <c r="H144" s="154"/>
      <c r="I144" s="63"/>
      <c r="K144" s="304">
        <f>IF(G144=E144,D144,IF(G145=E145,D145,100%))</f>
        <v>0.8</v>
      </c>
      <c r="L144" s="3"/>
      <c r="M144" s="3"/>
      <c r="N144" s="3"/>
      <c r="O144" s="3"/>
    </row>
    <row r="145" spans="1:15" ht="12.75">
      <c r="A145" s="255" t="s">
        <v>515</v>
      </c>
      <c r="B145" s="261" t="s">
        <v>268</v>
      </c>
      <c r="C145" s="263" t="s">
        <v>71</v>
      </c>
      <c r="D145" s="300">
        <v>0.02</v>
      </c>
      <c r="E145" s="246" t="s">
        <v>227</v>
      </c>
      <c r="F145" s="240" t="s">
        <v>228</v>
      </c>
      <c r="G145" s="269" t="s">
        <v>228</v>
      </c>
      <c r="H145" s="155"/>
      <c r="I145" s="63"/>
      <c r="K145" s="311"/>
      <c r="L145" s="3"/>
      <c r="M145" s="3"/>
      <c r="N145" s="3"/>
      <c r="O145" s="3"/>
    </row>
    <row r="146" spans="1:15" ht="12.75">
      <c r="A146" s="239"/>
      <c r="B146" s="240"/>
      <c r="C146" s="241" t="s">
        <v>248</v>
      </c>
      <c r="D146" s="239"/>
      <c r="E146" s="240"/>
      <c r="F146" s="240"/>
      <c r="G146" s="277"/>
      <c r="H146" s="155"/>
      <c r="K146" s="311"/>
      <c r="L146" s="3"/>
      <c r="M146" s="3"/>
      <c r="N146" s="3"/>
      <c r="O146" s="3"/>
    </row>
    <row r="147" spans="1:15" ht="12.75">
      <c r="A147" s="239" t="s">
        <v>516</v>
      </c>
      <c r="B147" s="261" t="s">
        <v>267</v>
      </c>
      <c r="C147" s="263" t="s">
        <v>68</v>
      </c>
      <c r="D147" s="273">
        <v>0.8</v>
      </c>
      <c r="E147" s="246" t="s">
        <v>227</v>
      </c>
      <c r="F147" s="240" t="s">
        <v>228</v>
      </c>
      <c r="G147" s="269" t="s">
        <v>227</v>
      </c>
      <c r="H147" s="155"/>
      <c r="K147" s="311">
        <f>IF(G147=E147,D147,IF(G148=E148,D148,100%))</f>
        <v>0.8</v>
      </c>
      <c r="L147" s="3"/>
      <c r="M147" s="3"/>
      <c r="N147" s="3"/>
      <c r="O147" s="3"/>
    </row>
    <row r="148" spans="1:15" ht="12.75">
      <c r="A148" s="239" t="s">
        <v>517</v>
      </c>
      <c r="B148" s="261" t="s">
        <v>268</v>
      </c>
      <c r="C148" s="263" t="s">
        <v>71</v>
      </c>
      <c r="D148" s="273">
        <v>0.02</v>
      </c>
      <c r="E148" s="246" t="s">
        <v>227</v>
      </c>
      <c r="F148" s="240" t="s">
        <v>228</v>
      </c>
      <c r="G148" s="269" t="s">
        <v>228</v>
      </c>
      <c r="H148" s="155"/>
      <c r="K148" s="305"/>
      <c r="L148" s="3"/>
      <c r="M148" s="3"/>
      <c r="N148" s="3"/>
      <c r="O148" s="3"/>
    </row>
    <row r="149" spans="1:11" ht="12.75">
      <c r="A149" s="239"/>
      <c r="B149" s="240"/>
      <c r="C149" s="241" t="s">
        <v>62</v>
      </c>
      <c r="D149" s="273"/>
      <c r="E149" s="240"/>
      <c r="F149" s="240"/>
      <c r="G149" s="277"/>
      <c r="H149" s="154"/>
      <c r="K149" s="189" t="s">
        <v>288</v>
      </c>
    </row>
    <row r="150" spans="1:17" ht="12.75">
      <c r="A150" s="239"/>
      <c r="B150" s="240"/>
      <c r="C150" s="242" t="s">
        <v>74</v>
      </c>
      <c r="D150" s="273"/>
      <c r="E150" s="240"/>
      <c r="F150" s="240"/>
      <c r="G150" s="277"/>
      <c r="H150" s="155">
        <f>IF(OR(P151:P154),Q150,O150)</f>
        <v>0.02</v>
      </c>
      <c r="K150" s="81" t="str">
        <f>A151</f>
        <v>PM 34</v>
      </c>
      <c r="L150" s="82" t="str">
        <f>A152</f>
        <v>PM 35</v>
      </c>
      <c r="M150" s="82" t="str">
        <f>A153</f>
        <v>PM 36</v>
      </c>
      <c r="N150" s="82"/>
      <c r="O150" s="93">
        <v>1</v>
      </c>
      <c r="P150" s="83"/>
      <c r="Q150" s="84">
        <f>SUM(Q151:Q154)</f>
        <v>0.02</v>
      </c>
    </row>
    <row r="151" spans="1:17" ht="12.75">
      <c r="A151" s="239" t="s">
        <v>518</v>
      </c>
      <c r="B151" s="240" t="s">
        <v>72</v>
      </c>
      <c r="C151" s="242" t="s">
        <v>75</v>
      </c>
      <c r="D151" s="271" t="s">
        <v>362</v>
      </c>
      <c r="E151" s="246" t="s">
        <v>227</v>
      </c>
      <c r="F151" s="240" t="s">
        <v>228</v>
      </c>
      <c r="G151" s="269" t="s">
        <v>227</v>
      </c>
      <c r="H151" s="154"/>
      <c r="K151" s="85" t="s">
        <v>227</v>
      </c>
      <c r="L151" s="86" t="s">
        <v>472</v>
      </c>
      <c r="M151" s="86" t="s">
        <v>227</v>
      </c>
      <c r="N151" s="86"/>
      <c r="O151" s="87">
        <v>0.02</v>
      </c>
      <c r="P151" s="88" t="b">
        <f>AND(G151=E151,G153=E153)</f>
        <v>1</v>
      </c>
      <c r="Q151" s="308">
        <f>P151*O151</f>
        <v>0.02</v>
      </c>
    </row>
    <row r="152" spans="1:17" ht="12.75">
      <c r="A152" s="239" t="s">
        <v>519</v>
      </c>
      <c r="B152" s="240" t="s">
        <v>73</v>
      </c>
      <c r="C152" s="316" t="s">
        <v>76</v>
      </c>
      <c r="D152" s="271" t="s">
        <v>285</v>
      </c>
      <c r="E152" s="246" t="s">
        <v>227</v>
      </c>
      <c r="F152" s="240" t="s">
        <v>228</v>
      </c>
      <c r="G152" s="269" t="s">
        <v>472</v>
      </c>
      <c r="H152" s="154"/>
      <c r="K152" s="85" t="s">
        <v>227</v>
      </c>
      <c r="L152" s="86" t="s">
        <v>472</v>
      </c>
      <c r="M152" s="86" t="s">
        <v>228</v>
      </c>
      <c r="N152" s="86"/>
      <c r="O152" s="87">
        <v>0.25</v>
      </c>
      <c r="P152" s="88" t="b">
        <f>AND(G151=E151,G153=F153)</f>
        <v>0</v>
      </c>
      <c r="Q152" s="308">
        <f>P152*O152</f>
        <v>0</v>
      </c>
    </row>
    <row r="153" spans="1:17" ht="39">
      <c r="A153" s="239" t="s">
        <v>520</v>
      </c>
      <c r="B153" s="240" t="s">
        <v>268</v>
      </c>
      <c r="C153" s="242" t="s">
        <v>63</v>
      </c>
      <c r="D153" s="273"/>
      <c r="E153" s="246" t="s">
        <v>227</v>
      </c>
      <c r="F153" s="240" t="s">
        <v>228</v>
      </c>
      <c r="G153" s="274" t="s">
        <v>227</v>
      </c>
      <c r="H153" s="154"/>
      <c r="K153" s="85" t="s">
        <v>472</v>
      </c>
      <c r="L153" s="86" t="s">
        <v>227</v>
      </c>
      <c r="M153" s="86" t="s">
        <v>227</v>
      </c>
      <c r="N153" s="86"/>
      <c r="O153" s="87">
        <v>0.2</v>
      </c>
      <c r="P153" s="88" t="b">
        <f>AND(G152=E152,G153=E153)</f>
        <v>0</v>
      </c>
      <c r="Q153" s="308">
        <f>P153*O153</f>
        <v>0</v>
      </c>
    </row>
    <row r="154" spans="1:17" ht="12.75">
      <c r="A154" s="240"/>
      <c r="B154" s="240"/>
      <c r="C154" s="240" t="s">
        <v>64</v>
      </c>
      <c r="D154" s="239"/>
      <c r="E154" s="240"/>
      <c r="F154" s="240"/>
      <c r="G154" s="277"/>
      <c r="H154" s="154"/>
      <c r="K154" s="89" t="s">
        <v>472</v>
      </c>
      <c r="L154" s="90" t="s">
        <v>227</v>
      </c>
      <c r="M154" s="90" t="s">
        <v>228</v>
      </c>
      <c r="N154" s="90"/>
      <c r="O154" s="91">
        <v>0.66</v>
      </c>
      <c r="P154" s="92" t="b">
        <f>AND(G152=E152,G153=F153)</f>
        <v>0</v>
      </c>
      <c r="Q154" s="309">
        <f>P154*O154</f>
        <v>0</v>
      </c>
    </row>
    <row r="155" spans="1:15" ht="12.75">
      <c r="A155" s="239"/>
      <c r="B155" s="240"/>
      <c r="C155" s="241" t="s">
        <v>65</v>
      </c>
      <c r="D155" s="239"/>
      <c r="E155" s="240"/>
      <c r="F155" s="240"/>
      <c r="G155" s="277"/>
      <c r="H155" s="154"/>
      <c r="K155" s="3"/>
      <c r="L155" s="3"/>
      <c r="M155" s="3"/>
      <c r="N155" s="3"/>
      <c r="O155" s="47"/>
    </row>
    <row r="156" spans="1:8" ht="12.75">
      <c r="A156" s="239"/>
      <c r="B156" s="240"/>
      <c r="C156" s="241" t="s">
        <v>66</v>
      </c>
      <c r="D156" s="239"/>
      <c r="E156" s="240"/>
      <c r="F156" s="240"/>
      <c r="G156" s="277"/>
      <c r="H156" s="154"/>
    </row>
    <row r="157" spans="1:11" ht="39">
      <c r="A157" s="240"/>
      <c r="B157" s="240"/>
      <c r="C157" s="242" t="s">
        <v>67</v>
      </c>
      <c r="D157" s="239"/>
      <c r="E157" s="240"/>
      <c r="F157" s="240"/>
      <c r="G157" s="277"/>
      <c r="H157" s="154"/>
      <c r="K157" s="189" t="s">
        <v>287</v>
      </c>
    </row>
    <row r="158" spans="1:17" ht="12.75">
      <c r="A158" s="240"/>
      <c r="B158" s="240"/>
      <c r="C158" s="242" t="s">
        <v>112</v>
      </c>
      <c r="D158" s="268"/>
      <c r="E158" s="246"/>
      <c r="F158" s="240"/>
      <c r="G158" s="277"/>
      <c r="H158" s="155">
        <f>IF(OR(P159:P167),Q158,O158)</f>
        <v>0.8</v>
      </c>
      <c r="I158" s="47"/>
      <c r="J158" s="47"/>
      <c r="K158" s="65" t="str">
        <f>A159</f>
        <v>PM 3</v>
      </c>
      <c r="L158" s="66" t="str">
        <f>A160</f>
        <v>PM 4</v>
      </c>
      <c r="M158" s="66" t="str">
        <f>A161</f>
        <v>PM 5</v>
      </c>
      <c r="N158" s="66" t="str">
        <f>A162</f>
        <v>PM 6</v>
      </c>
      <c r="O158" s="80">
        <v>1</v>
      </c>
      <c r="P158" s="67"/>
      <c r="Q158" s="68">
        <f>SUM(Q159:Q167)</f>
        <v>0.8</v>
      </c>
    </row>
    <row r="159" spans="1:17" ht="12.75">
      <c r="A159" s="239" t="s">
        <v>358</v>
      </c>
      <c r="B159" s="317" t="s">
        <v>267</v>
      </c>
      <c r="C159" s="241" t="s">
        <v>217</v>
      </c>
      <c r="D159" s="271" t="s">
        <v>362</v>
      </c>
      <c r="E159" s="246" t="s">
        <v>227</v>
      </c>
      <c r="F159" s="240" t="s">
        <v>228</v>
      </c>
      <c r="G159" s="269" t="s">
        <v>228</v>
      </c>
      <c r="H159" s="154"/>
      <c r="K159" s="69" t="s">
        <v>227</v>
      </c>
      <c r="L159" s="70" t="s">
        <v>227</v>
      </c>
      <c r="M159" s="70" t="s">
        <v>472</v>
      </c>
      <c r="N159" s="70" t="s">
        <v>227</v>
      </c>
      <c r="O159" s="71">
        <v>0.02</v>
      </c>
      <c r="P159" s="72" t="b">
        <f>AND(G159=K159,G160=L159,G162=N159)</f>
        <v>0</v>
      </c>
      <c r="Q159" s="73">
        <f aca="true" t="shared" si="2" ref="Q159:Q167">P159*O159</f>
        <v>0</v>
      </c>
    </row>
    <row r="160" spans="1:17" ht="12.75">
      <c r="A160" s="239" t="s">
        <v>359</v>
      </c>
      <c r="B160" s="240" t="s">
        <v>268</v>
      </c>
      <c r="C160" s="241" t="s">
        <v>500</v>
      </c>
      <c r="D160" s="271" t="s">
        <v>190</v>
      </c>
      <c r="E160" s="246" t="s">
        <v>227</v>
      </c>
      <c r="F160" s="240" t="s">
        <v>228</v>
      </c>
      <c r="G160" s="269" t="s">
        <v>472</v>
      </c>
      <c r="H160" s="155"/>
      <c r="I160" s="47"/>
      <c r="J160" s="47"/>
      <c r="K160" s="69" t="s">
        <v>227</v>
      </c>
      <c r="L160" s="70" t="s">
        <v>227</v>
      </c>
      <c r="M160" s="70" t="s">
        <v>472</v>
      </c>
      <c r="N160" s="70" t="s">
        <v>228</v>
      </c>
      <c r="O160" s="71">
        <v>0.05</v>
      </c>
      <c r="P160" s="72" t="b">
        <f>AND(G159=K160,G160=L160,G162=N160)</f>
        <v>0</v>
      </c>
      <c r="Q160" s="73">
        <f t="shared" si="2"/>
        <v>0</v>
      </c>
    </row>
    <row r="161" spans="1:17" ht="12.75">
      <c r="A161" s="239" t="s">
        <v>360</v>
      </c>
      <c r="B161" s="240" t="s">
        <v>403</v>
      </c>
      <c r="C161" s="241" t="s">
        <v>493</v>
      </c>
      <c r="D161" s="318"/>
      <c r="E161" s="246" t="s">
        <v>227</v>
      </c>
      <c r="F161" s="240" t="s">
        <v>228</v>
      </c>
      <c r="G161" s="269" t="s">
        <v>227</v>
      </c>
      <c r="H161" s="155"/>
      <c r="I161" s="47"/>
      <c r="J161" s="47"/>
      <c r="K161" s="69" t="s">
        <v>227</v>
      </c>
      <c r="L161" s="70" t="s">
        <v>228</v>
      </c>
      <c r="M161" s="70" t="s">
        <v>472</v>
      </c>
      <c r="N161" s="70" t="s">
        <v>227</v>
      </c>
      <c r="O161" s="71">
        <v>0.5</v>
      </c>
      <c r="P161" s="72" t="b">
        <f>AND(G159=K161,G160=L161,G162=N161)</f>
        <v>0</v>
      </c>
      <c r="Q161" s="73">
        <f t="shared" si="2"/>
        <v>0</v>
      </c>
    </row>
    <row r="162" spans="1:17" ht="12.75">
      <c r="A162" s="239" t="s">
        <v>275</v>
      </c>
      <c r="B162" s="240" t="s">
        <v>404</v>
      </c>
      <c r="C162" s="241" t="s">
        <v>220</v>
      </c>
      <c r="D162" s="268"/>
      <c r="E162" s="246" t="s">
        <v>227</v>
      </c>
      <c r="F162" s="240" t="s">
        <v>228</v>
      </c>
      <c r="G162" s="269" t="s">
        <v>228</v>
      </c>
      <c r="H162" s="155"/>
      <c r="I162" s="47"/>
      <c r="J162" s="47"/>
      <c r="K162" s="69" t="s">
        <v>227</v>
      </c>
      <c r="L162" s="70" t="s">
        <v>228</v>
      </c>
      <c r="M162" s="70" t="s">
        <v>472</v>
      </c>
      <c r="N162" s="70" t="s">
        <v>228</v>
      </c>
      <c r="O162" s="71">
        <v>0.66</v>
      </c>
      <c r="P162" s="72" t="b">
        <f>AND(G159=K162,G160=L162,G162=N162)</f>
        <v>0</v>
      </c>
      <c r="Q162" s="73">
        <f t="shared" si="2"/>
        <v>0</v>
      </c>
    </row>
    <row r="163" spans="1:17" ht="12.75" hidden="1">
      <c r="A163" s="239"/>
      <c r="B163" s="240"/>
      <c r="C163" s="241"/>
      <c r="D163" s="268"/>
      <c r="E163" s="246"/>
      <c r="F163" s="240"/>
      <c r="G163" s="277"/>
      <c r="H163" s="155"/>
      <c r="I163" s="47"/>
      <c r="J163" s="47"/>
      <c r="K163" s="69" t="s">
        <v>227</v>
      </c>
      <c r="L163" s="70" t="s">
        <v>472</v>
      </c>
      <c r="M163" s="70" t="s">
        <v>227</v>
      </c>
      <c r="N163" s="70" t="s">
        <v>227</v>
      </c>
      <c r="O163" s="71">
        <v>0.01</v>
      </c>
      <c r="P163" s="72" t="b">
        <f>AND(G159=K163,G161=M163,G162=N163)</f>
        <v>0</v>
      </c>
      <c r="Q163" s="73">
        <f t="shared" si="2"/>
        <v>0</v>
      </c>
    </row>
    <row r="164" spans="1:17" ht="12.75" hidden="1">
      <c r="A164" s="239"/>
      <c r="B164" s="240"/>
      <c r="C164" s="241"/>
      <c r="D164" s="268"/>
      <c r="E164" s="246"/>
      <c r="F164" s="240"/>
      <c r="G164" s="277"/>
      <c r="H164" s="155"/>
      <c r="I164" s="47"/>
      <c r="J164" s="47"/>
      <c r="K164" s="69" t="s">
        <v>227</v>
      </c>
      <c r="L164" s="70" t="s">
        <v>472</v>
      </c>
      <c r="M164" s="70" t="s">
        <v>227</v>
      </c>
      <c r="N164" s="70" t="s">
        <v>228</v>
      </c>
      <c r="O164" s="71">
        <v>0.02</v>
      </c>
      <c r="P164" s="72" t="b">
        <f>AND(G159=K164,G161=M164,G162=N164)</f>
        <v>0</v>
      </c>
      <c r="Q164" s="73">
        <f t="shared" si="2"/>
        <v>0</v>
      </c>
    </row>
    <row r="165" spans="1:17" ht="12.75" hidden="1">
      <c r="A165" s="239"/>
      <c r="B165" s="240"/>
      <c r="C165" s="241"/>
      <c r="D165" s="268"/>
      <c r="E165" s="246"/>
      <c r="F165" s="240"/>
      <c r="G165" s="277"/>
      <c r="H165" s="155"/>
      <c r="I165" s="47"/>
      <c r="J165" s="47"/>
      <c r="K165" s="69" t="s">
        <v>228</v>
      </c>
      <c r="L165" s="70" t="s">
        <v>227</v>
      </c>
      <c r="M165" s="70" t="s">
        <v>472</v>
      </c>
      <c r="N165" s="70" t="s">
        <v>472</v>
      </c>
      <c r="O165" s="71">
        <v>0.8</v>
      </c>
      <c r="P165" s="72" t="b">
        <f>AND(G159=K165,G160=L165)</f>
        <v>0</v>
      </c>
      <c r="Q165" s="73">
        <f t="shared" si="2"/>
        <v>0</v>
      </c>
    </row>
    <row r="166" spans="1:17" ht="12.75" hidden="1">
      <c r="A166" s="239"/>
      <c r="B166" s="240"/>
      <c r="C166" s="241"/>
      <c r="D166" s="268"/>
      <c r="E166" s="246"/>
      <c r="F166" s="240"/>
      <c r="G166" s="277"/>
      <c r="H166" s="155"/>
      <c r="I166" s="47"/>
      <c r="J166" s="47"/>
      <c r="K166" s="69" t="s">
        <v>228</v>
      </c>
      <c r="L166" s="70" t="s">
        <v>228</v>
      </c>
      <c r="M166" s="70" t="s">
        <v>472</v>
      </c>
      <c r="N166" s="70" t="s">
        <v>472</v>
      </c>
      <c r="O166" s="71">
        <v>1</v>
      </c>
      <c r="P166" s="72" t="b">
        <f>AND(G159=K166,G160=L166)</f>
        <v>0</v>
      </c>
      <c r="Q166" s="73">
        <f t="shared" si="2"/>
        <v>0</v>
      </c>
    </row>
    <row r="167" spans="1:17" ht="12.75" hidden="1">
      <c r="A167" s="239"/>
      <c r="B167" s="240"/>
      <c r="C167" s="241"/>
      <c r="D167" s="268"/>
      <c r="E167" s="246"/>
      <c r="F167" s="240"/>
      <c r="G167" s="277"/>
      <c r="H167" s="155"/>
      <c r="I167" s="47"/>
      <c r="J167" s="47"/>
      <c r="K167" s="74" t="s">
        <v>228</v>
      </c>
      <c r="L167" s="75" t="s">
        <v>472</v>
      </c>
      <c r="M167" s="75" t="s">
        <v>227</v>
      </c>
      <c r="N167" s="75" t="s">
        <v>472</v>
      </c>
      <c r="O167" s="76">
        <v>0.8</v>
      </c>
      <c r="P167" s="77" t="b">
        <f>AND(G159=K167,G161=M167)</f>
        <v>1</v>
      </c>
      <c r="Q167" s="78">
        <f t="shared" si="2"/>
        <v>0.8</v>
      </c>
    </row>
    <row r="168" spans="1:10" ht="26.25">
      <c r="A168" s="239" t="s">
        <v>276</v>
      </c>
      <c r="B168" s="240"/>
      <c r="C168" s="241" t="s">
        <v>77</v>
      </c>
      <c r="D168" s="268">
        <v>0.5</v>
      </c>
      <c r="E168" s="246" t="s">
        <v>227</v>
      </c>
      <c r="F168" s="240" t="s">
        <v>228</v>
      </c>
      <c r="G168" s="269" t="s">
        <v>227</v>
      </c>
      <c r="H168" s="155">
        <f>IF(G168=E168,D168,1)</f>
        <v>0.5</v>
      </c>
      <c r="I168" s="47"/>
      <c r="J168" s="47"/>
    </row>
    <row r="169" spans="1:10" ht="12.75">
      <c r="A169" s="239" t="s">
        <v>277</v>
      </c>
      <c r="B169" s="240"/>
      <c r="C169" s="241" t="s">
        <v>221</v>
      </c>
      <c r="D169" s="268">
        <v>0.5</v>
      </c>
      <c r="E169" s="246" t="s">
        <v>227</v>
      </c>
      <c r="F169" s="240" t="s">
        <v>228</v>
      </c>
      <c r="G169" s="269" t="s">
        <v>227</v>
      </c>
      <c r="H169" s="155">
        <f>IF(G169=E169,D169,1)</f>
        <v>0.5</v>
      </c>
      <c r="I169" s="47"/>
      <c r="J169" s="47"/>
    </row>
    <row r="170" spans="7:8" ht="12.75" hidden="1">
      <c r="G170" s="160"/>
      <c r="H170" s="154"/>
    </row>
    <row r="171" spans="1:7" ht="12.75" hidden="1">
      <c r="A171" s="167" t="s">
        <v>354</v>
      </c>
      <c r="B171" s="49"/>
      <c r="C171" s="59"/>
      <c r="D171" s="160"/>
      <c r="E171" s="49"/>
      <c r="F171" s="49"/>
      <c r="G171" s="176">
        <f>PRODUCT(H142:H169)</f>
        <v>0.0032</v>
      </c>
    </row>
    <row r="172" spans="1:7" ht="12.75">
      <c r="A172" s="168" t="s">
        <v>355</v>
      </c>
      <c r="B172" s="161"/>
      <c r="C172" s="162"/>
      <c r="D172" s="163"/>
      <c r="E172" s="161"/>
      <c r="F172" s="161"/>
      <c r="G172" s="169">
        <f>D139*PRODUCT(H141,H142,H143,H150,H158,H168,H169)</f>
        <v>0.8</v>
      </c>
    </row>
    <row r="174" spans="1:15" ht="21">
      <c r="A174" s="166" t="s">
        <v>351</v>
      </c>
      <c r="B174" s="163"/>
      <c r="C174" s="184" t="s">
        <v>84</v>
      </c>
      <c r="D174" s="163"/>
      <c r="E174" s="161"/>
      <c r="F174" s="161"/>
      <c r="G174" s="301" t="s">
        <v>353</v>
      </c>
      <c r="H174" s="302"/>
      <c r="K174" s="3"/>
      <c r="L174" s="3"/>
      <c r="M174" s="3"/>
      <c r="N174" s="3"/>
      <c r="O174" s="3"/>
    </row>
    <row r="175" spans="4:5" ht="12.75">
      <c r="D175" s="160"/>
      <c r="E175" s="49"/>
    </row>
    <row r="176" spans="1:10" ht="12.75">
      <c r="A176" s="422" t="s">
        <v>541</v>
      </c>
      <c r="B176" s="422"/>
      <c r="C176" s="422"/>
      <c r="D176" s="170" t="str">
        <f>$D$12</f>
        <v>Kengetal risico</v>
      </c>
      <c r="F176" s="44"/>
      <c r="G176" s="312"/>
      <c r="H176" s="312"/>
      <c r="I176" s="44"/>
      <c r="J176" s="44"/>
    </row>
    <row r="177" spans="3:8" ht="123" customHeight="1">
      <c r="C177" s="59" t="s">
        <v>81</v>
      </c>
      <c r="D177" s="160">
        <v>100</v>
      </c>
      <c r="E177" s="49"/>
      <c r="H177" s="3"/>
    </row>
    <row r="178" spans="1:15" ht="12.75">
      <c r="A178" s="165" t="s">
        <v>352</v>
      </c>
      <c r="D178" s="170" t="s">
        <v>185</v>
      </c>
      <c r="E178" s="44" t="str">
        <f>$E$14</f>
        <v>Mogelijke antwoorden</v>
      </c>
      <c r="G178" s="237" t="s">
        <v>226</v>
      </c>
      <c r="H178" s="164" t="s">
        <v>186</v>
      </c>
      <c r="K178" s="3"/>
      <c r="L178" s="3"/>
      <c r="M178" s="3"/>
      <c r="N178" s="3"/>
      <c r="O178" s="3"/>
    </row>
    <row r="179" spans="1:8" s="61" customFormat="1" ht="26.25">
      <c r="A179" s="287" t="str">
        <f>A142</f>
        <v>PM 29</v>
      </c>
      <c r="B179" s="280"/>
      <c r="C179" s="280" t="s">
        <v>147</v>
      </c>
      <c r="D179" s="278"/>
      <c r="E179" s="279"/>
      <c r="F179" s="279"/>
      <c r="G179" s="282"/>
      <c r="H179" s="180">
        <f>H142</f>
        <v>1</v>
      </c>
    </row>
    <row r="180" spans="1:8" s="61" customFormat="1" ht="26.25">
      <c r="A180" s="287"/>
      <c r="B180" s="280"/>
      <c r="C180" s="280" t="s">
        <v>61</v>
      </c>
      <c r="D180" s="278"/>
      <c r="E180" s="279"/>
      <c r="F180" s="279"/>
      <c r="G180" s="282"/>
      <c r="H180" s="180">
        <f>H143</f>
        <v>0.8</v>
      </c>
    </row>
    <row r="181" spans="1:8" s="61" customFormat="1" ht="12.75">
      <c r="A181" s="287" t="str">
        <f>A144</f>
        <v>PM 30</v>
      </c>
      <c r="B181" s="280" t="str">
        <f>B144</f>
        <v>a</v>
      </c>
      <c r="C181" s="280" t="s">
        <v>68</v>
      </c>
      <c r="D181" s="278"/>
      <c r="E181" s="279"/>
      <c r="F181" s="279"/>
      <c r="G181" s="282"/>
      <c r="H181" s="180"/>
    </row>
    <row r="182" spans="1:8" s="61" customFormat="1" ht="12.75">
      <c r="A182" s="287" t="str">
        <f>A145</f>
        <v>PM 31</v>
      </c>
      <c r="B182" s="280" t="str">
        <f>B145</f>
        <v>b</v>
      </c>
      <c r="C182" s="280" t="s">
        <v>71</v>
      </c>
      <c r="D182" s="278"/>
      <c r="E182" s="279"/>
      <c r="F182" s="279"/>
      <c r="G182" s="282"/>
      <c r="H182" s="180"/>
    </row>
    <row r="183" spans="1:8" s="61" customFormat="1" ht="12.75">
      <c r="A183" s="287"/>
      <c r="B183" s="280"/>
      <c r="C183" s="280" t="s">
        <v>248</v>
      </c>
      <c r="D183" s="278"/>
      <c r="E183" s="279"/>
      <c r="F183" s="279"/>
      <c r="G183" s="282"/>
      <c r="H183" s="180"/>
    </row>
    <row r="184" spans="1:8" s="61" customFormat="1" ht="12.75">
      <c r="A184" s="278" t="str">
        <f>A147</f>
        <v>PM 32</v>
      </c>
      <c r="B184" s="280" t="str">
        <f>B147</f>
        <v>a</v>
      </c>
      <c r="C184" s="280" t="s">
        <v>68</v>
      </c>
      <c r="D184" s="278"/>
      <c r="E184" s="279"/>
      <c r="F184" s="279"/>
      <c r="G184" s="282"/>
      <c r="H184" s="180"/>
    </row>
    <row r="185" spans="1:8" s="61" customFormat="1" ht="12.75">
      <c r="A185" s="287" t="str">
        <f>A148</f>
        <v>PM 33</v>
      </c>
      <c r="B185" s="280" t="str">
        <f>B148</f>
        <v>b</v>
      </c>
      <c r="C185" s="280" t="s">
        <v>71</v>
      </c>
      <c r="D185" s="278"/>
      <c r="E185" s="279"/>
      <c r="F185" s="279"/>
      <c r="G185" s="282"/>
      <c r="H185" s="180"/>
    </row>
    <row r="186" spans="1:8" ht="26.25">
      <c r="A186" s="239" t="s">
        <v>521</v>
      </c>
      <c r="B186" s="240"/>
      <c r="C186" s="241" t="s">
        <v>148</v>
      </c>
      <c r="D186" s="273">
        <v>0.2</v>
      </c>
      <c r="E186" s="240" t="s">
        <v>227</v>
      </c>
      <c r="F186" s="240" t="s">
        <v>228</v>
      </c>
      <c r="G186" s="269" t="s">
        <v>227</v>
      </c>
      <c r="H186" s="310">
        <f>IF(G186=E186,D186,100%)</f>
        <v>0.2</v>
      </c>
    </row>
    <row r="187" spans="1:11" ht="26.25">
      <c r="A187" s="239" t="s">
        <v>522</v>
      </c>
      <c r="B187" s="240"/>
      <c r="C187" s="241" t="s">
        <v>57</v>
      </c>
      <c r="D187" s="273">
        <v>0.5</v>
      </c>
      <c r="E187" s="240" t="s">
        <v>227</v>
      </c>
      <c r="F187" s="240" t="s">
        <v>228</v>
      </c>
      <c r="G187" s="269" t="s">
        <v>227</v>
      </c>
      <c r="H187" s="310">
        <f>IF(G187=E187,D187,100%)</f>
        <v>0.5</v>
      </c>
      <c r="K187" s="189" t="s">
        <v>286</v>
      </c>
    </row>
    <row r="188" spans="1:8" ht="26.25">
      <c r="A188" s="239" t="s">
        <v>276</v>
      </c>
      <c r="B188" s="240"/>
      <c r="C188" s="241" t="s">
        <v>169</v>
      </c>
      <c r="D188" s="273">
        <v>0.5</v>
      </c>
      <c r="E188" s="240" t="s">
        <v>227</v>
      </c>
      <c r="F188" s="240" t="s">
        <v>228</v>
      </c>
      <c r="G188" s="269" t="s">
        <v>227</v>
      </c>
      <c r="H188" s="310">
        <f>IF(G188=E188,D188,100%)</f>
        <v>0.5</v>
      </c>
    </row>
    <row r="189" spans="1:17" ht="12.75">
      <c r="A189" s="239"/>
      <c r="B189" s="240"/>
      <c r="C189" s="242" t="s">
        <v>78</v>
      </c>
      <c r="D189" s="268"/>
      <c r="E189" s="246"/>
      <c r="F189" s="240"/>
      <c r="G189" s="277"/>
      <c r="H189" s="155">
        <f>IF(OR(P190:P198),Q189,O189)</f>
        <v>0.8</v>
      </c>
      <c r="I189" s="47"/>
      <c r="J189" s="47"/>
      <c r="K189" s="65" t="str">
        <f>A190</f>
        <v>PM 3</v>
      </c>
      <c r="L189" s="66" t="str">
        <f>A191</f>
        <v>PM 4</v>
      </c>
      <c r="M189" s="66" t="str">
        <f>A192</f>
        <v>PM 5</v>
      </c>
      <c r="N189" s="66" t="str">
        <f>A193</f>
        <v>PM 6</v>
      </c>
      <c r="O189" s="80">
        <v>1</v>
      </c>
      <c r="P189" s="67"/>
      <c r="Q189" s="68">
        <f>SUM(Q190:Q198)</f>
        <v>0.8</v>
      </c>
    </row>
    <row r="190" spans="1:17" ht="12.75">
      <c r="A190" s="239" t="s">
        <v>358</v>
      </c>
      <c r="B190" s="270">
        <v>1</v>
      </c>
      <c r="C190" s="241" t="s">
        <v>217</v>
      </c>
      <c r="D190" s="271" t="s">
        <v>362</v>
      </c>
      <c r="E190" s="246" t="s">
        <v>227</v>
      </c>
      <c r="F190" s="240" t="s">
        <v>228</v>
      </c>
      <c r="G190" s="269" t="s">
        <v>228</v>
      </c>
      <c r="H190" s="154"/>
      <c r="K190" s="69" t="s">
        <v>227</v>
      </c>
      <c r="L190" s="70" t="s">
        <v>227</v>
      </c>
      <c r="M190" s="70" t="s">
        <v>472</v>
      </c>
      <c r="N190" s="70" t="s">
        <v>227</v>
      </c>
      <c r="O190" s="71">
        <v>0.02</v>
      </c>
      <c r="P190" s="72" t="b">
        <f>AND(G190=K190,G191=L190,G193=N190)</f>
        <v>0</v>
      </c>
      <c r="Q190" s="73">
        <f aca="true" t="shared" si="3" ref="Q190:Q198">P190*O190</f>
        <v>0</v>
      </c>
    </row>
    <row r="191" spans="1:17" ht="12.75">
      <c r="A191" s="239" t="s">
        <v>359</v>
      </c>
      <c r="B191" s="240">
        <v>2</v>
      </c>
      <c r="C191" s="241" t="s">
        <v>500</v>
      </c>
      <c r="D191" s="271" t="s">
        <v>192</v>
      </c>
      <c r="E191" s="246" t="s">
        <v>227</v>
      </c>
      <c r="F191" s="240" t="s">
        <v>228</v>
      </c>
      <c r="G191" s="276" t="s">
        <v>472</v>
      </c>
      <c r="H191" s="155"/>
      <c r="I191" s="47"/>
      <c r="J191" s="47"/>
      <c r="K191" s="69" t="s">
        <v>227</v>
      </c>
      <c r="L191" s="70" t="s">
        <v>227</v>
      </c>
      <c r="M191" s="70" t="s">
        <v>472</v>
      </c>
      <c r="N191" s="70" t="s">
        <v>228</v>
      </c>
      <c r="O191" s="71">
        <v>0.05</v>
      </c>
      <c r="P191" s="72" t="b">
        <f>AND(G190=K191,G191=L191,G193=N191)</f>
        <v>0</v>
      </c>
      <c r="Q191" s="73">
        <f t="shared" si="3"/>
        <v>0</v>
      </c>
    </row>
    <row r="192" spans="1:17" ht="12.75">
      <c r="A192" s="239" t="s">
        <v>360</v>
      </c>
      <c r="B192" s="240">
        <v>3</v>
      </c>
      <c r="C192" s="241" t="s">
        <v>493</v>
      </c>
      <c r="D192" s="268"/>
      <c r="E192" s="246" t="s">
        <v>227</v>
      </c>
      <c r="F192" s="240" t="s">
        <v>228</v>
      </c>
      <c r="G192" s="269" t="s">
        <v>227</v>
      </c>
      <c r="H192" s="155"/>
      <c r="I192" s="47"/>
      <c r="J192" s="47"/>
      <c r="K192" s="69" t="s">
        <v>227</v>
      </c>
      <c r="L192" s="70" t="s">
        <v>228</v>
      </c>
      <c r="M192" s="70" t="s">
        <v>472</v>
      </c>
      <c r="N192" s="70" t="s">
        <v>227</v>
      </c>
      <c r="O192" s="71">
        <v>0.5</v>
      </c>
      <c r="P192" s="72" t="b">
        <f>AND(G190=K192,G191=L192,G193=N192)</f>
        <v>0</v>
      </c>
      <c r="Q192" s="73">
        <f t="shared" si="3"/>
        <v>0</v>
      </c>
    </row>
    <row r="193" spans="1:17" ht="12.75">
      <c r="A193" s="239" t="s">
        <v>275</v>
      </c>
      <c r="B193" s="240">
        <v>4</v>
      </c>
      <c r="C193" s="241" t="s">
        <v>220</v>
      </c>
      <c r="D193" s="268"/>
      <c r="E193" s="246" t="s">
        <v>227</v>
      </c>
      <c r="F193" s="240" t="s">
        <v>228</v>
      </c>
      <c r="G193" s="269" t="s">
        <v>228</v>
      </c>
      <c r="H193" s="155"/>
      <c r="I193" s="47"/>
      <c r="J193" s="47"/>
      <c r="K193" s="69" t="s">
        <v>227</v>
      </c>
      <c r="L193" s="70" t="s">
        <v>228</v>
      </c>
      <c r="M193" s="70" t="s">
        <v>472</v>
      </c>
      <c r="N193" s="70" t="s">
        <v>228</v>
      </c>
      <c r="O193" s="71">
        <v>0.66</v>
      </c>
      <c r="P193" s="72" t="b">
        <f>AND(G190=K193,G191=L193,G193=N193)</f>
        <v>0</v>
      </c>
      <c r="Q193" s="73">
        <f t="shared" si="3"/>
        <v>0</v>
      </c>
    </row>
    <row r="194" spans="1:17" ht="12.75" hidden="1">
      <c r="A194" s="239"/>
      <c r="B194" s="240"/>
      <c r="C194" s="240"/>
      <c r="D194" s="239"/>
      <c r="E194" s="240"/>
      <c r="F194" s="240"/>
      <c r="G194" s="277"/>
      <c r="H194" s="154"/>
      <c r="I194" s="47"/>
      <c r="J194" s="47"/>
      <c r="K194" s="69" t="s">
        <v>227</v>
      </c>
      <c r="L194" s="70" t="s">
        <v>472</v>
      </c>
      <c r="M194" s="70" t="s">
        <v>227</v>
      </c>
      <c r="N194" s="70" t="s">
        <v>227</v>
      </c>
      <c r="O194" s="71">
        <v>0.01</v>
      </c>
      <c r="P194" s="72" t="b">
        <f>AND(G190=K194,G192=M194,G193=N194)</f>
        <v>0</v>
      </c>
      <c r="Q194" s="73">
        <f t="shared" si="3"/>
        <v>0</v>
      </c>
    </row>
    <row r="195" spans="1:17" ht="12.75" hidden="1">
      <c r="A195" s="239"/>
      <c r="B195" s="240"/>
      <c r="C195" s="241"/>
      <c r="D195" s="268"/>
      <c r="E195" s="246"/>
      <c r="F195" s="240"/>
      <c r="G195" s="277"/>
      <c r="H195" s="155"/>
      <c r="I195" s="47"/>
      <c r="J195" s="47"/>
      <c r="K195" s="69" t="s">
        <v>227</v>
      </c>
      <c r="L195" s="70" t="s">
        <v>472</v>
      </c>
      <c r="M195" s="70" t="s">
        <v>227</v>
      </c>
      <c r="N195" s="70" t="s">
        <v>228</v>
      </c>
      <c r="O195" s="71">
        <v>0.02</v>
      </c>
      <c r="P195" s="72" t="b">
        <f>AND(G190=K195,G192=M195,G193=N195)</f>
        <v>0</v>
      </c>
      <c r="Q195" s="73">
        <f t="shared" si="3"/>
        <v>0</v>
      </c>
    </row>
    <row r="196" spans="1:17" ht="12.75" hidden="1">
      <c r="A196" s="239"/>
      <c r="B196" s="240"/>
      <c r="C196" s="241"/>
      <c r="D196" s="268"/>
      <c r="E196" s="246"/>
      <c r="F196" s="240"/>
      <c r="G196" s="277"/>
      <c r="H196" s="155"/>
      <c r="I196" s="47"/>
      <c r="J196" s="47"/>
      <c r="K196" s="69" t="s">
        <v>228</v>
      </c>
      <c r="L196" s="70" t="s">
        <v>227</v>
      </c>
      <c r="M196" s="70" t="s">
        <v>472</v>
      </c>
      <c r="N196" s="70" t="s">
        <v>472</v>
      </c>
      <c r="O196" s="71">
        <v>0.8</v>
      </c>
      <c r="P196" s="72" t="b">
        <f>AND(G190=K196,G191=L196)</f>
        <v>0</v>
      </c>
      <c r="Q196" s="73">
        <f t="shared" si="3"/>
        <v>0</v>
      </c>
    </row>
    <row r="197" spans="1:17" ht="12.75" hidden="1">
      <c r="A197" s="239"/>
      <c r="B197" s="240"/>
      <c r="C197" s="241"/>
      <c r="D197" s="268"/>
      <c r="E197" s="246"/>
      <c r="F197" s="240"/>
      <c r="G197" s="277"/>
      <c r="H197" s="155"/>
      <c r="I197" s="47"/>
      <c r="J197" s="47"/>
      <c r="K197" s="69" t="s">
        <v>228</v>
      </c>
      <c r="L197" s="70" t="s">
        <v>228</v>
      </c>
      <c r="M197" s="70" t="s">
        <v>472</v>
      </c>
      <c r="N197" s="70" t="s">
        <v>472</v>
      </c>
      <c r="O197" s="71">
        <v>1</v>
      </c>
      <c r="P197" s="72" t="b">
        <f>AND(G190=K197,G191=L197)</f>
        <v>0</v>
      </c>
      <c r="Q197" s="73">
        <f t="shared" si="3"/>
        <v>0</v>
      </c>
    </row>
    <row r="198" spans="1:17" ht="12.75" hidden="1">
      <c r="A198" s="239"/>
      <c r="B198" s="240"/>
      <c r="C198" s="241"/>
      <c r="D198" s="268"/>
      <c r="E198" s="246"/>
      <c r="F198" s="240"/>
      <c r="G198" s="277"/>
      <c r="H198" s="155"/>
      <c r="I198" s="47"/>
      <c r="J198" s="47"/>
      <c r="K198" s="74" t="s">
        <v>228</v>
      </c>
      <c r="L198" s="75" t="s">
        <v>472</v>
      </c>
      <c r="M198" s="75" t="s">
        <v>227</v>
      </c>
      <c r="N198" s="75" t="s">
        <v>472</v>
      </c>
      <c r="O198" s="76">
        <v>0.8</v>
      </c>
      <c r="P198" s="77" t="b">
        <f>AND(G190=K198,G192=M198)</f>
        <v>1</v>
      </c>
      <c r="Q198" s="78">
        <f t="shared" si="3"/>
        <v>0.8</v>
      </c>
    </row>
    <row r="199" spans="1:8" ht="26.25">
      <c r="A199" s="239" t="s">
        <v>523</v>
      </c>
      <c r="B199" s="240"/>
      <c r="C199" s="241" t="s">
        <v>96</v>
      </c>
      <c r="D199" s="268">
        <v>0.2</v>
      </c>
      <c r="E199" s="246" t="s">
        <v>227</v>
      </c>
      <c r="F199" s="240" t="s">
        <v>228</v>
      </c>
      <c r="G199" s="269" t="s">
        <v>227</v>
      </c>
      <c r="H199" s="310">
        <f>IF(G199=E199,D199,100%)</f>
        <v>0.2</v>
      </c>
    </row>
    <row r="200" spans="7:8" ht="12.75" hidden="1">
      <c r="G200" s="160"/>
      <c r="H200" s="154"/>
    </row>
    <row r="201" spans="1:7" ht="12.75" hidden="1">
      <c r="A201" s="167" t="s">
        <v>354</v>
      </c>
      <c r="B201" s="49"/>
      <c r="C201" s="59"/>
      <c r="D201" s="160"/>
      <c r="E201" s="49"/>
      <c r="F201" s="49"/>
      <c r="G201" s="176">
        <f>PRODUCT(H179:H200)</f>
        <v>0.006400000000000002</v>
      </c>
    </row>
    <row r="202" spans="1:7" ht="12.75">
      <c r="A202" s="168" t="s">
        <v>355</v>
      </c>
      <c r="B202" s="161"/>
      <c r="C202" s="162"/>
      <c r="D202" s="163"/>
      <c r="E202" s="161"/>
      <c r="F202" s="161"/>
      <c r="G202" s="169">
        <f>D177*PRODUCT(H179,H180,H186,H187,H188,H189,H199)</f>
        <v>0.6400000000000002</v>
      </c>
    </row>
    <row r="205" ht="12.75">
      <c r="J205" s="188"/>
    </row>
  </sheetData>
  <sheetProtection/>
  <mergeCells count="10">
    <mergeCell ref="A8:G8"/>
    <mergeCell ref="A12:C12"/>
    <mergeCell ref="A35:C35"/>
    <mergeCell ref="A63:C63"/>
    <mergeCell ref="A138:C138"/>
    <mergeCell ref="A176:C176"/>
    <mergeCell ref="A76:C76"/>
    <mergeCell ref="A94:C94"/>
    <mergeCell ref="A110:C110"/>
    <mergeCell ref="A124:C124"/>
  </mergeCells>
  <printOptions horizontalCentered="1"/>
  <pageMargins left="0.7874015748031497" right="0.7874015748031497" top="0.984251968503937" bottom="0.5905511811023623" header="0.5118110236220472" footer="0.5118110236220472"/>
  <pageSetup fitToHeight="5" horizontalDpi="600" verticalDpi="600" orientation="landscape" paperSize="9" scale="66" r:id="rId2"/>
  <headerFooter alignWithMargins="0">
    <oddHeader>&amp;RBijlage 5-2: Praktijkvoorbeeld van de risicoanalyse 'preventie' voor een bedrijf uit de droogkuissector</oddHeader>
    <oddFooter>&amp;CPagina &amp;P&amp;R&amp;A</oddFooter>
  </headerFooter>
  <rowBreaks count="5" manualBreakCount="5">
    <brk id="32" max="8" man="1"/>
    <brk id="75" max="8" man="1"/>
    <brk id="107" max="8" man="1"/>
    <brk id="135" max="8" man="1"/>
    <brk id="173" max="8" man="1"/>
  </rowBreaks>
  <drawing r:id="rId1"/>
</worksheet>
</file>

<file path=xl/worksheets/sheet3.xml><?xml version="1.0" encoding="utf-8"?>
<worksheet xmlns="http://schemas.openxmlformats.org/spreadsheetml/2006/main" xmlns:r="http://schemas.openxmlformats.org/officeDocument/2006/relationships">
  <dimension ref="A1:B57"/>
  <sheetViews>
    <sheetView view="pageBreakPreview" zoomScale="60" zoomScaleNormal="75" zoomScalePageLayoutView="0" workbookViewId="0" topLeftCell="A1">
      <selection activeCell="B48" sqref="B48"/>
    </sheetView>
  </sheetViews>
  <sheetFormatPr defaultColWidth="9.140625" defaultRowHeight="12.75"/>
  <cols>
    <col min="1" max="1" width="3.7109375" style="3" customWidth="1"/>
    <col min="2" max="2" width="81.8515625" style="5" customWidth="1"/>
    <col min="3" max="16384" width="9.140625" style="3" customWidth="1"/>
  </cols>
  <sheetData>
    <row r="1" s="1" customFormat="1" ht="24">
      <c r="B1" s="2" t="s">
        <v>114</v>
      </c>
    </row>
    <row r="3" ht="12.75">
      <c r="B3" s="4" t="s">
        <v>115</v>
      </c>
    </row>
    <row r="5" ht="12.75">
      <c r="B5" s="5" t="s">
        <v>116</v>
      </c>
    </row>
    <row r="7" spans="1:2" s="8" customFormat="1" ht="42">
      <c r="A7" s="6" t="s">
        <v>118</v>
      </c>
      <c r="B7" s="7" t="s">
        <v>117</v>
      </c>
    </row>
    <row r="9" ht="39">
      <c r="B9" s="4" t="s">
        <v>119</v>
      </c>
    </row>
    <row r="10" ht="12.75">
      <c r="B10" s="4" t="s">
        <v>120</v>
      </c>
    </row>
    <row r="11" ht="26.25">
      <c r="B11" s="4" t="s">
        <v>121</v>
      </c>
    </row>
    <row r="12" ht="26.25">
      <c r="B12" s="4" t="s">
        <v>122</v>
      </c>
    </row>
    <row r="14" ht="52.5">
      <c r="B14" s="4" t="s">
        <v>123</v>
      </c>
    </row>
    <row r="15" spans="1:2" ht="12.75">
      <c r="A15" s="13"/>
      <c r="B15" s="5" t="s">
        <v>124</v>
      </c>
    </row>
    <row r="16" spans="1:2" ht="12.75">
      <c r="A16" s="13"/>
      <c r="B16" s="12" t="s">
        <v>125</v>
      </c>
    </row>
    <row r="17" spans="1:2" ht="12.75">
      <c r="A17" s="13"/>
      <c r="B17" s="12" t="s">
        <v>126</v>
      </c>
    </row>
    <row r="18" spans="1:2" ht="12.75">
      <c r="A18" s="13"/>
      <c r="B18" s="12" t="s">
        <v>127</v>
      </c>
    </row>
    <row r="20" ht="12.75">
      <c r="B20" s="4" t="s">
        <v>128</v>
      </c>
    </row>
    <row r="21" ht="105">
      <c r="B21" s="9" t="s">
        <v>389</v>
      </c>
    </row>
    <row r="22" ht="12.75">
      <c r="B22" s="5" t="s">
        <v>390</v>
      </c>
    </row>
    <row r="23" ht="29.25" customHeight="1">
      <c r="B23" s="4" t="s">
        <v>391</v>
      </c>
    </row>
    <row r="24" ht="52.5">
      <c r="B24" s="4" t="s">
        <v>79</v>
      </c>
    </row>
    <row r="26" spans="1:2" ht="21">
      <c r="A26" s="6" t="s">
        <v>392</v>
      </c>
      <c r="B26" s="7" t="s">
        <v>393</v>
      </c>
    </row>
    <row r="28" ht="52.5">
      <c r="B28" s="4" t="s">
        <v>329</v>
      </c>
    </row>
    <row r="29" ht="39">
      <c r="B29" s="11" t="s">
        <v>371</v>
      </c>
    </row>
    <row r="30" ht="52.5">
      <c r="B30" s="4" t="s">
        <v>107</v>
      </c>
    </row>
    <row r="31" ht="66">
      <c r="B31" s="4" t="s">
        <v>321</v>
      </c>
    </row>
    <row r="32" ht="12.75">
      <c r="B32" s="12" t="s">
        <v>473</v>
      </c>
    </row>
    <row r="34" spans="1:2" ht="21">
      <c r="A34" s="6" t="s">
        <v>394</v>
      </c>
      <c r="B34" s="7" t="s">
        <v>395</v>
      </c>
    </row>
    <row r="36" ht="78.75">
      <c r="B36" s="4" t="s">
        <v>170</v>
      </c>
    </row>
    <row r="37" ht="52.5">
      <c r="B37" s="11" t="s">
        <v>396</v>
      </c>
    </row>
    <row r="38" ht="52.5">
      <c r="B38" s="11" t="s">
        <v>171</v>
      </c>
    </row>
    <row r="39" ht="158.25">
      <c r="B39" s="4" t="s">
        <v>172</v>
      </c>
    </row>
    <row r="40" ht="78.75">
      <c r="B40" s="4" t="s">
        <v>266</v>
      </c>
    </row>
    <row r="41" ht="39">
      <c r="B41" s="4" t="s">
        <v>474</v>
      </c>
    </row>
    <row r="42" ht="66">
      <c r="B42" s="4" t="s">
        <v>254</v>
      </c>
    </row>
    <row r="43" ht="12.75">
      <c r="B43" s="12" t="s">
        <v>295</v>
      </c>
    </row>
    <row r="44" ht="52.5">
      <c r="B44" s="12" t="s">
        <v>296</v>
      </c>
    </row>
    <row r="46" spans="1:2" ht="21">
      <c r="A46" s="6" t="s">
        <v>373</v>
      </c>
      <c r="B46" s="7" t="s">
        <v>372</v>
      </c>
    </row>
    <row r="48" ht="26.25">
      <c r="B48" s="4" t="s">
        <v>297</v>
      </c>
    </row>
    <row r="50" spans="1:2" ht="21">
      <c r="A50" s="6" t="s">
        <v>298</v>
      </c>
      <c r="B50" s="7" t="s">
        <v>299</v>
      </c>
    </row>
    <row r="52" ht="12.75">
      <c r="B52" s="43" t="s">
        <v>300</v>
      </c>
    </row>
    <row r="53" ht="26.25">
      <c r="B53" s="5" t="s">
        <v>301</v>
      </c>
    </row>
    <row r="54" ht="12.75">
      <c r="B54" s="43" t="s">
        <v>302</v>
      </c>
    </row>
    <row r="55" ht="12.75">
      <c r="B55" s="5" t="s">
        <v>303</v>
      </c>
    </row>
    <row r="56" ht="12.75">
      <c r="B56" s="43" t="s">
        <v>304</v>
      </c>
    </row>
    <row r="57" ht="12.75">
      <c r="B57" s="5" t="s">
        <v>305</v>
      </c>
    </row>
  </sheetData>
  <sheetProtection/>
  <printOptions/>
  <pageMargins left="0.75" right="0.75" top="1" bottom="1" header="0.5" footer="0.5"/>
  <pageSetup horizontalDpi="600" verticalDpi="600" orientation="portrait" paperSize="9" scale="84" r:id="rId1"/>
  <rowBreaks count="1" manualBreakCount="1">
    <brk id="32"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D25"/>
  <sheetViews>
    <sheetView zoomScalePageLayoutView="0" workbookViewId="0" topLeftCell="A1">
      <selection activeCell="A2" sqref="A2"/>
    </sheetView>
  </sheetViews>
  <sheetFormatPr defaultColWidth="9.140625" defaultRowHeight="12.75"/>
  <cols>
    <col min="1" max="1" width="18.28125" style="16" customWidth="1"/>
    <col min="2" max="2" width="85.7109375" style="16" customWidth="1"/>
    <col min="3" max="3" width="12.140625" style="15" hidden="1" customWidth="1"/>
    <col min="4" max="4" width="4.7109375" style="15" hidden="1" customWidth="1"/>
    <col min="5" max="16384" width="9.140625" style="16" customWidth="1"/>
  </cols>
  <sheetData>
    <row r="1" spans="1:4" s="103" customFormat="1" ht="15">
      <c r="A1" s="109" t="s">
        <v>274</v>
      </c>
      <c r="B1" s="110" t="s">
        <v>5</v>
      </c>
      <c r="C1" s="102"/>
      <c r="D1" s="102"/>
    </row>
    <row r="2" spans="1:4" s="19" customFormat="1" ht="12.75">
      <c r="A2" s="111" t="s">
        <v>208</v>
      </c>
      <c r="B2" s="112" t="s">
        <v>132</v>
      </c>
      <c r="C2" s="18"/>
      <c r="D2" s="18"/>
    </row>
    <row r="3" spans="1:2" ht="52.5">
      <c r="A3" s="113"/>
      <c r="B3" s="114" t="s">
        <v>374</v>
      </c>
    </row>
    <row r="4" spans="1:4" s="19" customFormat="1" ht="12.75">
      <c r="A4" s="111" t="s">
        <v>133</v>
      </c>
      <c r="B4" s="115"/>
      <c r="C4" s="18" t="s">
        <v>375</v>
      </c>
      <c r="D4" s="18"/>
    </row>
    <row r="5" spans="1:4" ht="12.75">
      <c r="A5" s="116" t="s">
        <v>134</v>
      </c>
      <c r="B5" s="117" t="s">
        <v>376</v>
      </c>
      <c r="C5" s="15" t="s">
        <v>377</v>
      </c>
      <c r="D5" s="15" t="s">
        <v>167</v>
      </c>
    </row>
    <row r="6" spans="1:4" ht="26.25">
      <c r="A6" s="116" t="s">
        <v>134</v>
      </c>
      <c r="B6" s="117" t="s">
        <v>443</v>
      </c>
      <c r="C6" s="20" t="s">
        <v>385</v>
      </c>
      <c r="D6" s="15" t="s">
        <v>167</v>
      </c>
    </row>
    <row r="7" spans="1:4" s="19" customFormat="1" ht="12.75">
      <c r="A7" s="105" t="s">
        <v>386</v>
      </c>
      <c r="B7" s="106"/>
      <c r="C7" s="15"/>
      <c r="D7" s="18"/>
    </row>
    <row r="8" spans="1:3" ht="12.75">
      <c r="A8" s="118"/>
      <c r="B8" s="117" t="s">
        <v>236</v>
      </c>
      <c r="C8" s="18"/>
    </row>
    <row r="9" spans="1:4" s="19" customFormat="1" ht="12.75">
      <c r="A9" s="105" t="s">
        <v>387</v>
      </c>
      <c r="B9" s="106"/>
      <c r="C9" s="15"/>
      <c r="D9" s="18"/>
    </row>
    <row r="10" spans="1:4" ht="39.75" customHeight="1">
      <c r="A10" s="116" t="s">
        <v>134</v>
      </c>
      <c r="B10" s="107" t="s">
        <v>388</v>
      </c>
      <c r="C10" s="15" t="s">
        <v>377</v>
      </c>
      <c r="D10" s="15" t="s">
        <v>167</v>
      </c>
    </row>
    <row r="11" spans="1:4" ht="12.75">
      <c r="A11" s="119" t="s">
        <v>134</v>
      </c>
      <c r="B11" s="107" t="s">
        <v>229</v>
      </c>
      <c r="C11" s="20" t="str">
        <f>A6</f>
        <v> - </v>
      </c>
      <c r="D11" s="15" t="s">
        <v>167</v>
      </c>
    </row>
    <row r="12" spans="1:4" ht="26.25">
      <c r="A12" s="119"/>
      <c r="B12" s="107" t="s">
        <v>198</v>
      </c>
      <c r="C12" s="20"/>
      <c r="D12" s="15" t="s">
        <v>167</v>
      </c>
    </row>
    <row r="13" spans="1:4" ht="27.75" customHeight="1">
      <c r="A13" s="104" t="s">
        <v>134</v>
      </c>
      <c r="B13" s="108" t="s">
        <v>237</v>
      </c>
      <c r="C13" s="46" t="s">
        <v>216</v>
      </c>
      <c r="D13" s="15" t="s">
        <v>167</v>
      </c>
    </row>
    <row r="14" spans="1:2" ht="12.75">
      <c r="A14" s="23"/>
      <c r="B14" s="39"/>
    </row>
    <row r="15" spans="1:2" ht="12.75">
      <c r="A15" s="17"/>
      <c r="B15" s="14"/>
    </row>
    <row r="16" spans="1:2" ht="12.75">
      <c r="A16" s="17"/>
      <c r="B16" s="14"/>
    </row>
    <row r="17" spans="1:2" ht="12.75">
      <c r="A17" s="17"/>
      <c r="B17" s="14"/>
    </row>
    <row r="18" spans="1:2" ht="12.75">
      <c r="A18" s="17"/>
      <c r="B18" s="14"/>
    </row>
    <row r="19" spans="1:2" ht="12.75">
      <c r="A19" s="17"/>
      <c r="B19" s="14"/>
    </row>
    <row r="20" spans="1:4" s="19" customFormat="1" ht="12.75">
      <c r="A20" s="23"/>
      <c r="B20" s="24"/>
      <c r="C20" s="15"/>
      <c r="D20" s="18"/>
    </row>
    <row r="21" spans="1:3" ht="12.75">
      <c r="A21" s="17"/>
      <c r="B21" s="14"/>
      <c r="C21" s="18"/>
    </row>
    <row r="24" ht="12.75">
      <c r="A24" s="25"/>
    </row>
    <row r="25" ht="12.75">
      <c r="B25" s="26"/>
    </row>
  </sheetData>
  <sheetProtection/>
  <printOptions/>
  <pageMargins left="0.7874015748031497" right="0.7874015748031497" top="0.984251968503937" bottom="0.984251968503937" header="0.5118110236220472" footer="0.5118110236220472"/>
  <pageSetup fitToHeight="1" fitToWidth="1" horizontalDpi="300" verticalDpi="300" orientation="portrait" paperSize="9" scale="83" r:id="rId1"/>
  <headerFooter alignWithMargins="0">
    <oddHeader>&amp;RBijlage 3-2: Analyse van de aspecten</oddHeader>
    <oddFooter>&amp;CMethodiek BPBP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D21"/>
  <sheetViews>
    <sheetView zoomScalePageLayoutView="0" workbookViewId="0" topLeftCell="A1">
      <selection activeCell="C1" sqref="C1:D16384"/>
    </sheetView>
  </sheetViews>
  <sheetFormatPr defaultColWidth="9.140625" defaultRowHeight="12.75"/>
  <cols>
    <col min="1" max="1" width="19.7109375" style="16" customWidth="1"/>
    <col min="2" max="2" width="85.7109375" style="16" customWidth="1"/>
    <col min="3" max="3" width="12.140625" style="15" hidden="1" customWidth="1"/>
    <col min="4" max="4" width="4.7109375" style="15" hidden="1" customWidth="1"/>
    <col min="5" max="16384" width="9.140625" style="16" customWidth="1"/>
  </cols>
  <sheetData>
    <row r="1" spans="1:2" ht="15">
      <c r="A1" s="109" t="s">
        <v>274</v>
      </c>
      <c r="B1" s="110" t="s">
        <v>6</v>
      </c>
    </row>
    <row r="2" spans="1:4" s="19" customFormat="1" ht="12.75">
      <c r="A2" s="111" t="s">
        <v>208</v>
      </c>
      <c r="B2" s="112" t="s">
        <v>129</v>
      </c>
      <c r="C2" s="18"/>
      <c r="D2" s="18"/>
    </row>
    <row r="3" spans="1:2" ht="26.25">
      <c r="A3" s="23"/>
      <c r="B3" s="125" t="s">
        <v>199</v>
      </c>
    </row>
    <row r="4" spans="1:4" s="19" customFormat="1" ht="12.75">
      <c r="A4" s="111" t="s">
        <v>133</v>
      </c>
      <c r="B4" s="112"/>
      <c r="C4" s="18" t="s">
        <v>375</v>
      </c>
      <c r="D4" s="18"/>
    </row>
    <row r="5" spans="1:4" ht="12.75">
      <c r="A5" s="116" t="s">
        <v>134</v>
      </c>
      <c r="B5" s="114" t="s">
        <v>376</v>
      </c>
      <c r="C5" s="15" t="s">
        <v>377</v>
      </c>
      <c r="D5" s="15" t="s">
        <v>167</v>
      </c>
    </row>
    <row r="6" spans="1:4" ht="26.25">
      <c r="A6" s="120" t="s">
        <v>134</v>
      </c>
      <c r="B6" s="123" t="s">
        <v>378</v>
      </c>
      <c r="C6" s="20" t="s">
        <v>385</v>
      </c>
      <c r="D6" s="15" t="s">
        <v>167</v>
      </c>
    </row>
    <row r="7" spans="1:4" s="19" customFormat="1" ht="12.75">
      <c r="A7" s="111" t="s">
        <v>386</v>
      </c>
      <c r="B7" s="124"/>
      <c r="C7" s="15"/>
      <c r="D7" s="18"/>
    </row>
    <row r="8" spans="1:3" ht="12.75">
      <c r="A8" s="23"/>
      <c r="B8" s="125" t="s">
        <v>236</v>
      </c>
      <c r="C8" s="18"/>
    </row>
    <row r="9" spans="1:4" s="19" customFormat="1" ht="12.75">
      <c r="A9" s="111" t="s">
        <v>387</v>
      </c>
      <c r="B9" s="112"/>
      <c r="C9" s="15"/>
      <c r="D9" s="18"/>
    </row>
    <row r="10" spans="1:4" ht="39">
      <c r="A10" s="116" t="s">
        <v>134</v>
      </c>
      <c r="B10" s="121" t="s">
        <v>388</v>
      </c>
      <c r="C10" s="15" t="s">
        <v>377</v>
      </c>
      <c r="D10" s="15" t="s">
        <v>167</v>
      </c>
    </row>
    <row r="11" spans="1:4" ht="12.75">
      <c r="A11" s="116" t="s">
        <v>134</v>
      </c>
      <c r="B11" s="121" t="s">
        <v>229</v>
      </c>
      <c r="C11" s="20" t="str">
        <f>A6</f>
        <v> - </v>
      </c>
      <c r="D11" s="15" t="s">
        <v>167</v>
      </c>
    </row>
    <row r="12" spans="1:4" ht="26.25">
      <c r="A12" s="42"/>
      <c r="B12" s="121" t="s">
        <v>198</v>
      </c>
      <c r="C12" s="20"/>
      <c r="D12" s="15" t="s">
        <v>167</v>
      </c>
    </row>
    <row r="13" spans="1:4" ht="26.25">
      <c r="A13" s="120" t="s">
        <v>134</v>
      </c>
      <c r="B13" s="122" t="s">
        <v>237</v>
      </c>
      <c r="C13" s="22" t="str">
        <f>A6</f>
        <v> - </v>
      </c>
      <c r="D13" s="15" t="s">
        <v>167</v>
      </c>
    </row>
    <row r="14" spans="1:2" ht="12.75">
      <c r="A14" s="23"/>
      <c r="B14" s="39"/>
    </row>
    <row r="15" spans="1:2" ht="12.75">
      <c r="A15" s="17"/>
      <c r="B15" s="14"/>
    </row>
    <row r="16" spans="1:2" ht="12.75">
      <c r="A16" s="17"/>
      <c r="B16" s="14"/>
    </row>
    <row r="17" spans="1:2" ht="12.75">
      <c r="A17" s="17"/>
      <c r="B17" s="14"/>
    </row>
    <row r="18" spans="1:2" ht="12.75">
      <c r="A18" s="17"/>
      <c r="B18" s="14"/>
    </row>
    <row r="19" spans="1:4" s="19" customFormat="1" ht="12.75">
      <c r="A19" s="23"/>
      <c r="B19" s="24"/>
      <c r="C19" s="15"/>
      <c r="D19" s="15"/>
    </row>
    <row r="20" spans="1:4" ht="12.75">
      <c r="A20" s="17"/>
      <c r="B20" s="14"/>
      <c r="D20" s="18"/>
    </row>
    <row r="21" ht="12.75">
      <c r="C21" s="18"/>
    </row>
  </sheetData>
  <sheetProtection/>
  <printOptions/>
  <pageMargins left="0.7874015748031497" right="0.7874015748031497" top="0.984251968503937" bottom="0.984251968503937" header="0.5118110236220472" footer="0.5118110236220472"/>
  <pageSetup fitToHeight="1" fitToWidth="1" horizontalDpi="300" verticalDpi="300" orientation="portrait" paperSize="9" scale="82" r:id="rId1"/>
  <headerFooter alignWithMargins="0">
    <oddHeader>&amp;RBijlage 3-2: Analyse van de aspecten</oddHeader>
    <oddFooter>&amp;CMethodiek BPBP</oddFooter>
  </headerFooter>
</worksheet>
</file>

<file path=xl/worksheets/sheet6.xml><?xml version="1.0" encoding="utf-8"?>
<worksheet xmlns="http://schemas.openxmlformats.org/spreadsheetml/2006/main" xmlns:r="http://schemas.openxmlformats.org/officeDocument/2006/relationships">
  <dimension ref="A1:G55"/>
  <sheetViews>
    <sheetView zoomScalePageLayoutView="0" workbookViewId="0" topLeftCell="A34">
      <selection activeCell="E49" sqref="E49"/>
    </sheetView>
  </sheetViews>
  <sheetFormatPr defaultColWidth="9.140625" defaultRowHeight="12.75"/>
  <cols>
    <col min="1" max="1" width="18.57421875" style="16" customWidth="1"/>
    <col min="2" max="2" width="85.7109375" style="16" customWidth="1"/>
    <col min="3" max="3" width="12.140625" style="27" hidden="1" customWidth="1"/>
    <col min="4" max="4" width="0" style="27" hidden="1" customWidth="1"/>
    <col min="5" max="6" width="9.140625" style="27" customWidth="1"/>
    <col min="7" max="7" width="10.7109375" style="27" customWidth="1"/>
    <col min="8" max="16384" width="9.140625" style="16" customWidth="1"/>
  </cols>
  <sheetData>
    <row r="1" spans="1:2" ht="15">
      <c r="A1" s="109" t="s">
        <v>274</v>
      </c>
      <c r="B1" s="110" t="s">
        <v>7</v>
      </c>
    </row>
    <row r="2" spans="1:7" s="19" customFormat="1" ht="12.75">
      <c r="A2" s="111" t="s">
        <v>208</v>
      </c>
      <c r="B2" s="112" t="s">
        <v>130</v>
      </c>
      <c r="C2" s="28"/>
      <c r="D2" s="28"/>
      <c r="E2" s="28"/>
      <c r="F2" s="28"/>
      <c r="G2" s="28"/>
    </row>
    <row r="3" spans="1:2" ht="52.5">
      <c r="A3" s="42"/>
      <c r="B3" s="114" t="s">
        <v>200</v>
      </c>
    </row>
    <row r="4" spans="1:7" s="19" customFormat="1" ht="12.75">
      <c r="A4" s="111" t="s">
        <v>133</v>
      </c>
      <c r="B4" s="112"/>
      <c r="C4" s="28" t="s">
        <v>375</v>
      </c>
      <c r="D4" s="28"/>
      <c r="E4" s="28"/>
      <c r="F4" s="29"/>
      <c r="G4" s="28"/>
    </row>
    <row r="5" spans="1:7" s="19" customFormat="1" ht="12.75">
      <c r="A5" s="116" t="s">
        <v>134</v>
      </c>
      <c r="B5" s="137" t="s">
        <v>165</v>
      </c>
      <c r="C5" s="30" t="s">
        <v>385</v>
      </c>
      <c r="D5" s="51" t="s">
        <v>167</v>
      </c>
      <c r="E5" s="28"/>
      <c r="F5" s="29"/>
      <c r="G5" s="28"/>
    </row>
    <row r="6" spans="1:7" s="19" customFormat="1" ht="52.5">
      <c r="A6" s="42"/>
      <c r="B6" s="138" t="s">
        <v>238</v>
      </c>
      <c r="C6" s="30"/>
      <c r="D6" s="27" t="s">
        <v>167</v>
      </c>
      <c r="E6" s="28"/>
      <c r="F6" s="29"/>
      <c r="G6" s="28"/>
    </row>
    <row r="7" spans="1:7" s="19" customFormat="1" ht="12.75">
      <c r="A7" s="116" t="s">
        <v>134</v>
      </c>
      <c r="B7" s="132" t="s">
        <v>164</v>
      </c>
      <c r="C7" s="27" t="s">
        <v>377</v>
      </c>
      <c r="D7" s="27"/>
      <c r="E7" s="28"/>
      <c r="F7" s="29"/>
      <c r="G7" s="28"/>
    </row>
    <row r="8" spans="1:7" s="19" customFormat="1" ht="90.75" customHeight="1">
      <c r="A8" s="42"/>
      <c r="B8" s="138" t="s">
        <v>235</v>
      </c>
      <c r="C8" s="27"/>
      <c r="D8" s="28"/>
      <c r="E8" s="28"/>
      <c r="F8" s="28"/>
      <c r="G8" s="28"/>
    </row>
    <row r="9" spans="1:7" s="19" customFormat="1" ht="13.5" customHeight="1">
      <c r="A9" s="116" t="s">
        <v>134</v>
      </c>
      <c r="B9" s="132" t="s">
        <v>163</v>
      </c>
      <c r="C9" s="31" t="s">
        <v>380</v>
      </c>
      <c r="D9" s="28"/>
      <c r="E9" s="28"/>
      <c r="F9" s="28"/>
      <c r="G9" s="28"/>
    </row>
    <row r="10" spans="1:7" s="19" customFormat="1" ht="66">
      <c r="A10" s="42"/>
      <c r="B10" s="138" t="s">
        <v>397</v>
      </c>
      <c r="C10" s="31"/>
      <c r="D10" s="28"/>
      <c r="E10" s="28"/>
      <c r="F10" s="28"/>
      <c r="G10" s="28"/>
    </row>
    <row r="11" spans="1:7" s="19" customFormat="1" ht="12.75">
      <c r="A11" s="116" t="s">
        <v>134</v>
      </c>
      <c r="B11" s="132" t="s">
        <v>162</v>
      </c>
      <c r="C11" s="30" t="s">
        <v>381</v>
      </c>
      <c r="D11" s="28"/>
      <c r="E11" s="28"/>
      <c r="F11" s="28"/>
      <c r="G11" s="28"/>
    </row>
    <row r="12" spans="1:7" s="19" customFormat="1" ht="39">
      <c r="A12" s="42"/>
      <c r="B12" s="138" t="s">
        <v>159</v>
      </c>
      <c r="C12" s="30"/>
      <c r="D12" s="28"/>
      <c r="E12" s="28"/>
      <c r="F12" s="28"/>
      <c r="G12" s="28"/>
    </row>
    <row r="13" spans="1:7" s="19" customFormat="1" ht="14.25" customHeight="1">
      <c r="A13" s="116" t="s">
        <v>134</v>
      </c>
      <c r="B13" s="139" t="s">
        <v>161</v>
      </c>
      <c r="C13" s="34" t="s">
        <v>42</v>
      </c>
      <c r="D13" s="28"/>
      <c r="E13" s="28"/>
      <c r="F13" s="28"/>
      <c r="G13" s="28"/>
    </row>
    <row r="14" spans="1:7" s="19" customFormat="1" ht="39">
      <c r="A14" s="126"/>
      <c r="B14" s="140" t="s">
        <v>160</v>
      </c>
      <c r="C14" s="36" t="s">
        <v>166</v>
      </c>
      <c r="D14" s="28"/>
      <c r="E14" s="28"/>
      <c r="F14" s="28"/>
      <c r="G14" s="28"/>
    </row>
    <row r="15" spans="1:7" s="19" customFormat="1" ht="12.75">
      <c r="A15" s="116" t="s">
        <v>134</v>
      </c>
      <c r="B15" s="133" t="s">
        <v>382</v>
      </c>
      <c r="C15" s="30" t="s">
        <v>381</v>
      </c>
      <c r="D15" s="28" t="s">
        <v>167</v>
      </c>
      <c r="E15" s="28"/>
      <c r="F15" s="28"/>
      <c r="G15" s="28"/>
    </row>
    <row r="16" spans="1:7" s="19" customFormat="1" ht="26.25">
      <c r="A16" s="42"/>
      <c r="B16" s="133" t="s">
        <v>52</v>
      </c>
      <c r="C16" s="30"/>
      <c r="D16" s="28" t="s">
        <v>167</v>
      </c>
      <c r="E16" s="28"/>
      <c r="F16" s="28"/>
      <c r="G16" s="28"/>
    </row>
    <row r="17" spans="1:7" s="19" customFormat="1" ht="12.75">
      <c r="A17" s="116" t="s">
        <v>134</v>
      </c>
      <c r="B17" s="138" t="s">
        <v>51</v>
      </c>
      <c r="C17" s="30" t="s">
        <v>381</v>
      </c>
      <c r="D17" s="28"/>
      <c r="E17" s="28"/>
      <c r="F17" s="28"/>
      <c r="G17" s="28"/>
    </row>
    <row r="18" spans="1:7" s="19" customFormat="1" ht="12.75">
      <c r="A18" s="127"/>
      <c r="B18" s="134" t="s">
        <v>54</v>
      </c>
      <c r="C18" s="30"/>
      <c r="D18" s="28"/>
      <c r="E18" s="28"/>
      <c r="F18" s="28"/>
      <c r="G18" s="28"/>
    </row>
    <row r="19" spans="1:7" s="19" customFormat="1" ht="12.75">
      <c r="A19" s="130" t="s">
        <v>386</v>
      </c>
      <c r="B19" s="131"/>
      <c r="C19" s="27"/>
      <c r="D19" s="28"/>
      <c r="E19" s="28"/>
      <c r="F19" s="28"/>
      <c r="G19" s="28"/>
    </row>
    <row r="20" spans="1:3" ht="12.75">
      <c r="A20" s="111" t="s">
        <v>387</v>
      </c>
      <c r="B20" s="112"/>
      <c r="C20" s="32"/>
    </row>
    <row r="21" spans="1:3" ht="12.75">
      <c r="A21" s="116" t="s">
        <v>134</v>
      </c>
      <c r="B21" s="141" t="s">
        <v>379</v>
      </c>
      <c r="C21" s="27" t="s">
        <v>383</v>
      </c>
    </row>
    <row r="22" spans="1:7" s="19" customFormat="1" ht="39">
      <c r="A22" s="42"/>
      <c r="B22" s="142" t="s">
        <v>168</v>
      </c>
      <c r="C22" s="27"/>
      <c r="D22" s="28"/>
      <c r="E22" s="28"/>
      <c r="F22" s="28"/>
      <c r="G22" s="28"/>
    </row>
    <row r="23" spans="1:7" s="19" customFormat="1" ht="12.75">
      <c r="A23" s="116" t="s">
        <v>134</v>
      </c>
      <c r="B23" s="121" t="s">
        <v>543</v>
      </c>
      <c r="C23" s="27" t="s">
        <v>383</v>
      </c>
      <c r="D23" s="28"/>
      <c r="E23" s="28"/>
      <c r="F23" s="28"/>
      <c r="G23" s="28"/>
    </row>
    <row r="24" spans="1:2" ht="158.25">
      <c r="A24" s="42"/>
      <c r="B24" s="121" t="s">
        <v>542</v>
      </c>
    </row>
    <row r="25" spans="1:3" ht="12.75">
      <c r="A25" s="116" t="s">
        <v>134</v>
      </c>
      <c r="B25" s="114" t="s">
        <v>445</v>
      </c>
      <c r="C25" s="31" t="s">
        <v>446</v>
      </c>
    </row>
    <row r="26" spans="1:3" ht="144.75">
      <c r="A26" s="42"/>
      <c r="B26" s="121" t="s">
        <v>444</v>
      </c>
      <c r="C26" s="27" t="s">
        <v>447</v>
      </c>
    </row>
    <row r="27" spans="1:3" ht="12.75">
      <c r="A27" s="116" t="s">
        <v>134</v>
      </c>
      <c r="B27" s="114" t="s">
        <v>448</v>
      </c>
      <c r="C27" s="27" t="s">
        <v>377</v>
      </c>
    </row>
    <row r="28" spans="1:2" ht="66">
      <c r="A28" s="42"/>
      <c r="B28" s="142" t="s">
        <v>449</v>
      </c>
    </row>
    <row r="29" spans="1:3" ht="12.75">
      <c r="A29" s="116" t="s">
        <v>134</v>
      </c>
      <c r="B29" s="114" t="s">
        <v>450</v>
      </c>
      <c r="C29" s="27" t="s">
        <v>377</v>
      </c>
    </row>
    <row r="30" spans="1:2" ht="92.25">
      <c r="A30" s="42"/>
      <c r="B30" s="114" t="s">
        <v>384</v>
      </c>
    </row>
    <row r="31" spans="1:3" ht="12.75">
      <c r="A31" s="116" t="s">
        <v>134</v>
      </c>
      <c r="B31" s="121" t="s">
        <v>451</v>
      </c>
      <c r="C31" s="27" t="s">
        <v>377</v>
      </c>
    </row>
    <row r="32" spans="1:2" ht="78.75">
      <c r="A32" s="42"/>
      <c r="B32" s="114" t="s">
        <v>530</v>
      </c>
    </row>
    <row r="33" spans="1:3" ht="12.75">
      <c r="A33" s="116" t="s">
        <v>134</v>
      </c>
      <c r="B33" s="121" t="s">
        <v>452</v>
      </c>
      <c r="C33" s="27" t="s">
        <v>377</v>
      </c>
    </row>
    <row r="34" spans="1:2" ht="39">
      <c r="A34" s="42"/>
      <c r="B34" s="114" t="s">
        <v>173</v>
      </c>
    </row>
    <row r="35" spans="1:4" ht="12.75">
      <c r="A35" s="116" t="s">
        <v>134</v>
      </c>
      <c r="B35" s="121" t="s">
        <v>483</v>
      </c>
      <c r="C35" s="30" t="e">
        <f>#REF!</f>
        <v>#REF!</v>
      </c>
      <c r="D35" s="27" t="s">
        <v>167</v>
      </c>
    </row>
    <row r="36" spans="1:4" ht="66">
      <c r="A36" s="42"/>
      <c r="B36" s="142" t="s">
        <v>480</v>
      </c>
      <c r="C36" s="30"/>
      <c r="D36" s="27" t="s">
        <v>167</v>
      </c>
    </row>
    <row r="37" spans="1:3" ht="12.75">
      <c r="A37" s="116" t="s">
        <v>134</v>
      </c>
      <c r="B37" s="121" t="s">
        <v>174</v>
      </c>
      <c r="C37" s="27" t="s">
        <v>377</v>
      </c>
    </row>
    <row r="38" spans="1:2" ht="38.25" customHeight="1">
      <c r="A38" s="42"/>
      <c r="B38" s="114" t="s">
        <v>481</v>
      </c>
    </row>
    <row r="39" spans="1:3" ht="12.75">
      <c r="A39" s="116" t="s">
        <v>134</v>
      </c>
      <c r="B39" s="114" t="s">
        <v>476</v>
      </c>
      <c r="C39" s="27" t="s">
        <v>377</v>
      </c>
    </row>
    <row r="40" spans="1:2" ht="39">
      <c r="A40" s="42"/>
      <c r="B40" s="121" t="s">
        <v>475</v>
      </c>
    </row>
    <row r="41" spans="1:3" ht="14.25" customHeight="1">
      <c r="A41" s="116" t="s">
        <v>134</v>
      </c>
      <c r="B41" s="114" t="s">
        <v>478</v>
      </c>
      <c r="C41" s="31" t="s">
        <v>479</v>
      </c>
    </row>
    <row r="42" spans="1:2" ht="52.5">
      <c r="A42" s="42"/>
      <c r="B42" s="121" t="s">
        <v>477</v>
      </c>
    </row>
    <row r="43" spans="1:3" ht="12.75" customHeight="1">
      <c r="A43" s="120" t="s">
        <v>134</v>
      </c>
      <c r="B43" s="149" t="s">
        <v>531</v>
      </c>
      <c r="C43" s="31" t="s">
        <v>479</v>
      </c>
    </row>
    <row r="44" spans="1:7" s="19" customFormat="1" ht="12.75">
      <c r="A44" s="16"/>
      <c r="B44" s="16"/>
      <c r="C44" s="27"/>
      <c r="D44" s="28"/>
      <c r="E44" s="28"/>
      <c r="F44" s="28"/>
      <c r="G44" s="28"/>
    </row>
    <row r="46" ht="12.75">
      <c r="A46" s="25"/>
    </row>
    <row r="48" ht="12.75">
      <c r="B48" s="25"/>
    </row>
    <row r="49" ht="12.75">
      <c r="B49" s="25"/>
    </row>
    <row r="51" ht="12.75">
      <c r="B51" s="25"/>
    </row>
    <row r="52" ht="12.75">
      <c r="B52" s="25"/>
    </row>
    <row r="53" ht="12.75">
      <c r="B53" s="27"/>
    </row>
    <row r="54" ht="12.75">
      <c r="B54" s="27"/>
    </row>
    <row r="55" ht="12.75">
      <c r="B55" s="27"/>
    </row>
  </sheetData>
  <sheetProtection/>
  <printOptions/>
  <pageMargins left="0.7874015748031497" right="0.7874015748031497" top="0.984251968503937" bottom="0.984251968503937" header="0.5118110236220472" footer="0.5118110236220472"/>
  <pageSetup horizontalDpi="300" verticalDpi="300" orientation="portrait" scale="68" r:id="rId1"/>
  <headerFooter alignWithMargins="0">
    <oddHeader>&amp;RBijlage 3-2: Analyse van de aspecten</oddHeader>
    <oddFooter>&amp;CMethodiek BPBP</oddFooter>
  </headerFooter>
  <rowBreaks count="1" manualBreakCount="1">
    <brk id="24" max="1" man="1"/>
  </rowBreaks>
  <colBreaks count="1" manualBreakCount="1">
    <brk id="2" max="44" man="1"/>
  </colBreaks>
</worksheet>
</file>

<file path=xl/worksheets/sheet7.xml><?xml version="1.0" encoding="utf-8"?>
<worksheet xmlns="http://schemas.openxmlformats.org/spreadsheetml/2006/main" xmlns:r="http://schemas.openxmlformats.org/officeDocument/2006/relationships">
  <sheetPr>
    <pageSetUpPr fitToPage="1"/>
  </sheetPr>
  <dimension ref="A1:G9"/>
  <sheetViews>
    <sheetView zoomScaleSheetLayoutView="85" zoomScalePageLayoutView="0" workbookViewId="0" topLeftCell="A1">
      <selection activeCell="B7" sqref="B7"/>
    </sheetView>
  </sheetViews>
  <sheetFormatPr defaultColWidth="9.140625" defaultRowHeight="12.75"/>
  <cols>
    <col min="1" max="1" width="18.140625" style="16" customWidth="1"/>
    <col min="2" max="2" width="85.7109375" style="16" customWidth="1"/>
    <col min="3" max="3" width="12.140625" style="27" hidden="1" customWidth="1"/>
    <col min="4" max="4" width="0" style="15" hidden="1" customWidth="1"/>
    <col min="5" max="5" width="9.140625" style="15" customWidth="1"/>
    <col min="6" max="16384" width="9.140625" style="16" customWidth="1"/>
  </cols>
  <sheetData>
    <row r="1" spans="1:2" ht="15">
      <c r="A1" s="109" t="s">
        <v>274</v>
      </c>
      <c r="B1" s="110" t="s">
        <v>8</v>
      </c>
    </row>
    <row r="2" spans="1:5" s="19" customFormat="1" ht="12.75">
      <c r="A2" s="111" t="s">
        <v>208</v>
      </c>
      <c r="B2" s="112" t="s">
        <v>131</v>
      </c>
      <c r="C2" s="28"/>
      <c r="D2" s="18"/>
      <c r="E2" s="18"/>
    </row>
    <row r="3" spans="1:2" ht="26.25">
      <c r="A3" s="42"/>
      <c r="B3" s="114" t="s">
        <v>532</v>
      </c>
    </row>
    <row r="4" spans="1:7" s="19" customFormat="1" ht="12.75">
      <c r="A4" s="111" t="s">
        <v>133</v>
      </c>
      <c r="B4" s="112"/>
      <c r="C4" s="28" t="s">
        <v>375</v>
      </c>
      <c r="D4" s="28" t="s">
        <v>167</v>
      </c>
      <c r="E4" s="28"/>
      <c r="F4" s="29"/>
      <c r="G4" s="28"/>
    </row>
    <row r="5" spans="1:5" s="19" customFormat="1" ht="41.25" customHeight="1">
      <c r="A5" s="116" t="s">
        <v>134</v>
      </c>
      <c r="B5" s="133" t="s">
        <v>239</v>
      </c>
      <c r="C5" s="30" t="s">
        <v>385</v>
      </c>
      <c r="D5" s="18" t="s">
        <v>167</v>
      </c>
      <c r="E5" s="18"/>
    </row>
    <row r="6" spans="1:5" s="19" customFormat="1" ht="12.75">
      <c r="A6" s="130" t="s">
        <v>386</v>
      </c>
      <c r="B6" s="131"/>
      <c r="C6" s="34"/>
      <c r="D6" s="35"/>
      <c r="E6" s="18"/>
    </row>
    <row r="7" spans="1:5" s="19" customFormat="1" ht="12.75">
      <c r="A7" s="111" t="s">
        <v>387</v>
      </c>
      <c r="B7" s="112"/>
      <c r="C7" s="37"/>
      <c r="D7" s="35"/>
      <c r="E7" s="18"/>
    </row>
    <row r="8" spans="1:4" ht="27" customHeight="1">
      <c r="A8" s="116" t="s">
        <v>134</v>
      </c>
      <c r="B8" s="114" t="s">
        <v>31</v>
      </c>
      <c r="C8" s="21" t="s">
        <v>264</v>
      </c>
      <c r="D8" s="22" t="s">
        <v>167</v>
      </c>
    </row>
    <row r="9" spans="1:4" ht="26.25">
      <c r="A9" s="120" t="s">
        <v>134</v>
      </c>
      <c r="B9" s="125" t="s">
        <v>32</v>
      </c>
      <c r="C9" s="30" t="str">
        <f>A5</f>
        <v> - </v>
      </c>
      <c r="D9" s="22" t="s">
        <v>167</v>
      </c>
    </row>
  </sheetData>
  <sheetProtection/>
  <printOptions/>
  <pageMargins left="0.7874015748031497" right="0.7874015748031497" top="0.984251968503937" bottom="0.984251968503937" header="0.5118110236220472" footer="0.5118110236220472"/>
  <pageSetup fitToHeight="1" fitToWidth="1" horizontalDpi="300" verticalDpi="300" orientation="portrait" scale="85" r:id="rId1"/>
  <headerFooter alignWithMargins="0">
    <oddHeader>&amp;RBijlage 3-2: Analyse van de aspecten</oddHeader>
    <oddFooter>&amp;CMethodiek BPBP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22"/>
  <sheetViews>
    <sheetView zoomScaleSheetLayoutView="85" zoomScalePageLayoutView="0" workbookViewId="0" topLeftCell="A1">
      <selection activeCell="A15" sqref="A15"/>
    </sheetView>
  </sheetViews>
  <sheetFormatPr defaultColWidth="9.140625" defaultRowHeight="12.75"/>
  <cols>
    <col min="1" max="1" width="18.57421875" style="16" customWidth="1"/>
    <col min="2" max="2" width="85.7109375" style="16" customWidth="1"/>
    <col min="3" max="3" width="12.140625" style="27" hidden="1" customWidth="1"/>
    <col min="4" max="4" width="12.421875" style="15" hidden="1" customWidth="1"/>
    <col min="5" max="5" width="12.421875" style="15" customWidth="1"/>
    <col min="6" max="7" width="12.421875" style="16" customWidth="1"/>
    <col min="8" max="16384" width="9.140625" style="16" customWidth="1"/>
  </cols>
  <sheetData>
    <row r="1" spans="1:2" ht="15">
      <c r="A1" s="109" t="s">
        <v>274</v>
      </c>
      <c r="B1" s="110" t="s">
        <v>9</v>
      </c>
    </row>
    <row r="2" spans="1:5" s="19" customFormat="1" ht="12.75">
      <c r="A2" s="111" t="s">
        <v>208</v>
      </c>
      <c r="B2" s="112" t="s">
        <v>330</v>
      </c>
      <c r="C2" s="28"/>
      <c r="D2" s="18"/>
      <c r="E2" s="18"/>
    </row>
    <row r="3" spans="1:2" ht="12.75">
      <c r="A3" s="42"/>
      <c r="B3" s="114" t="s">
        <v>33</v>
      </c>
    </row>
    <row r="4" spans="1:7" s="19" customFormat="1" ht="12.75">
      <c r="A4" s="111" t="s">
        <v>133</v>
      </c>
      <c r="B4" s="112"/>
      <c r="C4" s="28" t="s">
        <v>375</v>
      </c>
      <c r="D4" s="28"/>
      <c r="E4" s="28"/>
      <c r="F4" s="29"/>
      <c r="G4" s="28"/>
    </row>
    <row r="5" spans="1:5" s="19" customFormat="1" ht="39">
      <c r="A5" s="116" t="s">
        <v>134</v>
      </c>
      <c r="B5" s="132" t="s">
        <v>43</v>
      </c>
      <c r="C5" s="30" t="s">
        <v>385</v>
      </c>
      <c r="D5" s="18"/>
      <c r="E5" s="18"/>
    </row>
    <row r="6" spans="1:5" s="19" customFormat="1" ht="26.25">
      <c r="A6" s="116" t="s">
        <v>134</v>
      </c>
      <c r="B6" s="133" t="s">
        <v>34</v>
      </c>
      <c r="C6" s="30" t="s">
        <v>385</v>
      </c>
      <c r="D6" s="18"/>
      <c r="E6" s="18"/>
    </row>
    <row r="7" spans="1:5" s="19" customFormat="1" ht="39">
      <c r="A7" s="120" t="s">
        <v>134</v>
      </c>
      <c r="B7" s="134" t="s">
        <v>95</v>
      </c>
      <c r="C7" s="30" t="s">
        <v>385</v>
      </c>
      <c r="D7" s="18"/>
      <c r="E7" s="18"/>
    </row>
    <row r="8" spans="1:5" s="19" customFormat="1" ht="12.75">
      <c r="A8" s="111" t="s">
        <v>386</v>
      </c>
      <c r="B8" s="112"/>
      <c r="C8" s="34"/>
      <c r="D8" s="18"/>
      <c r="E8" s="18"/>
    </row>
    <row r="9" spans="1:5" s="19" customFormat="1" ht="12.75">
      <c r="A9" s="111" t="s">
        <v>387</v>
      </c>
      <c r="B9" s="112"/>
      <c r="C9" s="37"/>
      <c r="D9" s="18"/>
      <c r="E9" s="18"/>
    </row>
    <row r="10" spans="1:3" ht="12.75">
      <c r="A10" s="116" t="s">
        <v>134</v>
      </c>
      <c r="B10" s="107" t="s">
        <v>148</v>
      </c>
      <c r="C10" s="30"/>
    </row>
    <row r="11" spans="1:4" ht="78.75">
      <c r="A11" s="126"/>
      <c r="B11" s="107" t="s">
        <v>331</v>
      </c>
      <c r="C11" s="30"/>
      <c r="D11" s="15" t="s">
        <v>167</v>
      </c>
    </row>
    <row r="12" spans="1:4" ht="12.75">
      <c r="A12" s="116" t="s">
        <v>134</v>
      </c>
      <c r="B12" s="117" t="s">
        <v>57</v>
      </c>
      <c r="C12" s="30"/>
      <c r="D12" s="15" t="s">
        <v>167</v>
      </c>
    </row>
    <row r="13" spans="1:4" ht="52.5">
      <c r="A13" s="135"/>
      <c r="B13" s="114" t="s">
        <v>35</v>
      </c>
      <c r="C13" s="30"/>
      <c r="D13" s="15" t="s">
        <v>167</v>
      </c>
    </row>
    <row r="14" spans="1:4" ht="12.75">
      <c r="A14" s="116" t="s">
        <v>134</v>
      </c>
      <c r="B14" s="114" t="s">
        <v>58</v>
      </c>
      <c r="C14" s="30"/>
      <c r="D14" s="15" t="s">
        <v>167</v>
      </c>
    </row>
    <row r="15" spans="1:4" ht="39">
      <c r="A15" s="135"/>
      <c r="B15" s="114" t="s">
        <v>31</v>
      </c>
      <c r="C15" s="30" t="str">
        <f>A5</f>
        <v> - </v>
      </c>
      <c r="D15" s="15" t="s">
        <v>167</v>
      </c>
    </row>
    <row r="16" spans="1:4" ht="26.25">
      <c r="A16" s="116" t="s">
        <v>134</v>
      </c>
      <c r="B16" s="114" t="s">
        <v>36</v>
      </c>
      <c r="C16" s="30" t="str">
        <f>A5</f>
        <v> - </v>
      </c>
      <c r="D16" s="15" t="s">
        <v>167</v>
      </c>
    </row>
    <row r="17" spans="1:4" ht="54.75" customHeight="1">
      <c r="A17" s="116" t="s">
        <v>134</v>
      </c>
      <c r="B17" s="121" t="s">
        <v>272</v>
      </c>
      <c r="C17" s="16"/>
      <c r="D17" s="16"/>
    </row>
    <row r="18" spans="1:4" ht="12.75">
      <c r="A18" s="116" t="s">
        <v>134</v>
      </c>
      <c r="B18" s="121" t="s">
        <v>96</v>
      </c>
      <c r="C18" s="16"/>
      <c r="D18" s="16"/>
    </row>
    <row r="19" spans="1:3" ht="39">
      <c r="A19" s="136"/>
      <c r="B19" s="123" t="s">
        <v>111</v>
      </c>
      <c r="C19" s="34"/>
    </row>
    <row r="20" ht="12.75">
      <c r="C20" s="15"/>
    </row>
    <row r="21" ht="12.75">
      <c r="C21" s="15"/>
    </row>
    <row r="22" ht="12.75">
      <c r="C22" s="15"/>
    </row>
  </sheetData>
  <sheetProtection/>
  <printOptions/>
  <pageMargins left="0.7874015748031497" right="0.7874015748031497" top="0.984251968503937" bottom="0.984251968503937" header="0.5118110236220472" footer="0.5118110236220472"/>
  <pageSetup fitToHeight="1" fitToWidth="1" horizontalDpi="300" verticalDpi="300" orientation="portrait" scale="85" r:id="rId1"/>
  <headerFooter alignWithMargins="0">
    <oddHeader>&amp;RBijlage 3-2: Analyse van de aspecten</oddHeader>
    <oddFooter>&amp;CMethodiek BPBP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B8" sqref="B8"/>
    </sheetView>
  </sheetViews>
  <sheetFormatPr defaultColWidth="9.140625" defaultRowHeight="12.75"/>
  <cols>
    <col min="1" max="1" width="18.7109375" style="16" customWidth="1"/>
    <col min="2" max="2" width="85.7109375" style="16" customWidth="1"/>
    <col min="3" max="3" width="12.140625" style="15" hidden="1" customWidth="1"/>
    <col min="4" max="4" width="0" style="15" hidden="1" customWidth="1"/>
    <col min="5" max="6" width="9.140625" style="15" customWidth="1"/>
    <col min="7" max="16384" width="9.140625" style="16" customWidth="1"/>
  </cols>
  <sheetData>
    <row r="1" spans="1:2" ht="15">
      <c r="A1" s="109" t="s">
        <v>274</v>
      </c>
      <c r="B1" s="110" t="s">
        <v>10</v>
      </c>
    </row>
    <row r="2" spans="1:6" s="19" customFormat="1" ht="12.75">
      <c r="A2" s="111" t="s">
        <v>208</v>
      </c>
      <c r="B2" s="112" t="s">
        <v>332</v>
      </c>
      <c r="C2" s="18"/>
      <c r="D2" s="18"/>
      <c r="E2" s="18"/>
      <c r="F2" s="18"/>
    </row>
    <row r="3" spans="1:2" ht="28.5" customHeight="1">
      <c r="A3" s="42"/>
      <c r="B3" s="114" t="s">
        <v>37</v>
      </c>
    </row>
    <row r="4" spans="1:8" s="19" customFormat="1" ht="12.75">
      <c r="A4" s="111" t="s">
        <v>133</v>
      </c>
      <c r="B4" s="112"/>
      <c r="C4" s="28" t="s">
        <v>375</v>
      </c>
      <c r="D4" s="28"/>
      <c r="E4" s="28"/>
      <c r="F4" s="28"/>
      <c r="G4" s="29"/>
      <c r="H4" s="28"/>
    </row>
    <row r="5" spans="1:6" s="19" customFormat="1" ht="26.25">
      <c r="A5" s="143"/>
      <c r="B5" s="144" t="s">
        <v>38</v>
      </c>
      <c r="C5" s="38" t="s">
        <v>45</v>
      </c>
      <c r="D5" s="18"/>
      <c r="E5" s="18"/>
      <c r="F5" s="18"/>
    </row>
    <row r="6" spans="1:6" s="19" customFormat="1" ht="12.75">
      <c r="A6" s="128" t="s">
        <v>386</v>
      </c>
      <c r="B6" s="129"/>
      <c r="C6" s="18"/>
      <c r="D6" s="18"/>
      <c r="E6" s="18"/>
      <c r="F6" s="18"/>
    </row>
    <row r="7" spans="1:6" s="19" customFormat="1" ht="12.75">
      <c r="A7" s="111" t="s">
        <v>387</v>
      </c>
      <c r="B7" s="112"/>
      <c r="C7" s="18"/>
      <c r="D7" s="18"/>
      <c r="E7" s="18"/>
      <c r="F7" s="18"/>
    </row>
    <row r="8" spans="1:6" s="19" customFormat="1" ht="12.75">
      <c r="A8" s="116" t="s">
        <v>134</v>
      </c>
      <c r="B8" s="137" t="s">
        <v>151</v>
      </c>
      <c r="C8" s="33" t="s">
        <v>40</v>
      </c>
      <c r="D8" s="101" t="s">
        <v>167</v>
      </c>
      <c r="E8" s="18"/>
      <c r="F8" s="18"/>
    </row>
    <row r="9" spans="1:4" ht="39">
      <c r="A9" s="126"/>
      <c r="B9" s="140" t="s">
        <v>39</v>
      </c>
      <c r="C9" s="33"/>
      <c r="D9" s="15" t="s">
        <v>167</v>
      </c>
    </row>
    <row r="10" spans="1:4" ht="26.25">
      <c r="A10" s="116" t="s">
        <v>134</v>
      </c>
      <c r="B10" s="139" t="s">
        <v>367</v>
      </c>
      <c r="C10" s="33" t="s">
        <v>41</v>
      </c>
      <c r="D10" s="15" t="s">
        <v>167</v>
      </c>
    </row>
    <row r="11" spans="1:4" ht="52.5">
      <c r="A11" s="145"/>
      <c r="B11" s="108" t="s">
        <v>366</v>
      </c>
      <c r="C11" s="16"/>
      <c r="D11" s="15" t="s">
        <v>167</v>
      </c>
    </row>
  </sheetData>
  <sheetProtection/>
  <printOptions/>
  <pageMargins left="0.7874015748031497" right="0.7874015748031497" top="0.984251968503937" bottom="0.984251968503937" header="0.5118110236220472" footer="0.5118110236220472"/>
  <pageSetup fitToHeight="1" fitToWidth="1" horizontalDpi="300" verticalDpi="300" orientation="portrait" scale="85" r:id="rId1"/>
  <headerFooter alignWithMargins="0">
    <oddHeader>&amp;RBijlage 3-2: Analyse van de aspecten</oddHeader>
    <oddFooter>&amp;CMethodiek BPBP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Ecolas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Bert Gielen</dc:creator>
  <cp:keywords/>
  <dc:description/>
  <cp:lastModifiedBy>Bert Opgenhaffen</cp:lastModifiedBy>
  <cp:lastPrinted>2008-05-29T13:17:03Z</cp:lastPrinted>
  <dcterms:created xsi:type="dcterms:W3CDTF">2006-10-23T07:56:22Z</dcterms:created>
  <dcterms:modified xsi:type="dcterms:W3CDTF">2020-11-12T11:20:56Z</dcterms:modified>
  <cp:category/>
  <cp:version/>
  <cp:contentType/>
  <cp:contentStatus/>
</cp:coreProperties>
</file>